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mFVM677O+8rkW3esUbRXufHr6uLxiyLfvxl4GSVvjYQwLJ2CVgLcQ1gFp6VTH15kpaVGDVEdXcttlD98tMbMLQ==" workbookSaltValue="L+7JheaMdXOkgYOLFcrOtQ==" workbookSpinCount="100000" lockStructure="1"/>
  <bookViews>
    <workbookView xWindow="0" yWindow="1800" windowWidth="28800" windowHeight="12420" tabRatio="842"/>
  </bookViews>
  <sheets>
    <sheet name="FORM 1 GF" sheetId="100" r:id="rId1"/>
    <sheet name="mmo" sheetId="72" r:id="rId2"/>
    <sheet name="vmo" sheetId="41" r:id="rId3"/>
    <sheet name="osca" sheetId="43" r:id="rId4"/>
    <sheet name="sbo" sheetId="39" r:id="rId5"/>
    <sheet name="ssbo" sheetId="40" r:id="rId6"/>
    <sheet name="admin" sheetId="27" r:id="rId7"/>
    <sheet name="hrmo" sheetId="28" r:id="rId8"/>
    <sheet name="mpdo" sheetId="5" r:id="rId9"/>
    <sheet name="mcro" sheetId="6" r:id="rId10"/>
    <sheet name="gso" sheetId="37" r:id="rId11"/>
    <sheet name="mbo" sheetId="7" r:id="rId12"/>
    <sheet name="macco" sheetId="8" r:id="rId13"/>
    <sheet name="mto" sheetId="57" r:id="rId14"/>
    <sheet name="masso" sheetId="10" r:id="rId15"/>
    <sheet name="dilg" sheetId="17" r:id="rId16"/>
    <sheet name="coa" sheetId="11" r:id="rId17"/>
    <sheet name="mctc" sheetId="61" r:id="rId18"/>
    <sheet name="pnp" sheetId="26" r:id="rId19"/>
    <sheet name="bfp" sheetId="42" r:id="rId20"/>
    <sheet name="mho" sheetId="38" r:id="rId21"/>
    <sheet name="mswdo" sheetId="15" r:id="rId22"/>
    <sheet name="mago" sheetId="90" r:id="rId23"/>
    <sheet name="MENRO" sheetId="71" r:id="rId24"/>
    <sheet name="meo" sheetId="19" r:id="rId25"/>
    <sheet name="OBO" sheetId="62" r:id="rId26"/>
    <sheet name="leeo-Market" sheetId="78" r:id="rId27"/>
    <sheet name="leeo-Terminal" sheetId="79" r:id="rId28"/>
    <sheet name="leeo- Slaughterhouse" sheetId="80" r:id="rId29"/>
    <sheet name="ProgProjAct 09-22-22" sheetId="99" r:id="rId30"/>
    <sheet name="Gender &amp; Dev't. 09-15-22" sheetId="97" r:id="rId31"/>
    <sheet name="20% LDF 9-13-22" sheetId="88" r:id="rId32"/>
    <sheet name="5% MDRRMF 9-23-22" sheetId="87" r:id="rId33"/>
    <sheet name="C &amp; SO (GF)" sheetId="85" r:id="rId34"/>
  </sheets>
  <externalReferences>
    <externalReference r:id="rId35"/>
    <externalReference r:id="rId36"/>
    <externalReference r:id="rId37"/>
  </externalReferences>
  <definedNames>
    <definedName name="_xlnm.Print_Area" localSheetId="31">'20% LDF 9-13-22'!$A$1:$L$186</definedName>
    <definedName name="_xlnm.Print_Area" localSheetId="32">'5% MDRRMF 9-23-22'!$A$1:$L$324</definedName>
    <definedName name="_xlnm.Print_Area" localSheetId="6">admin!$A$1:$M$89</definedName>
    <definedName name="_xlnm.Print_Area" localSheetId="19">bfp!$A$1:$M$50</definedName>
    <definedName name="_xlnm.Print_Area" localSheetId="16">coa!$A$1:$M$38</definedName>
    <definedName name="_xlnm.Print_Area" localSheetId="15">dilg!$A$1:$M$58</definedName>
    <definedName name="_xlnm.Print_Area" localSheetId="0">'FORM 1 GF'!$A$1:$R$285</definedName>
    <definedName name="_xlnm.Print_Area" localSheetId="30">'Gender &amp; Dev''t. 09-15-22'!$A$1:$M$459</definedName>
    <definedName name="_xlnm.Print_Area" localSheetId="10">gso!$A$1:$M$89</definedName>
    <definedName name="_xlnm.Print_Area" localSheetId="7">hrmo!$A$1:$M$83</definedName>
    <definedName name="_xlnm.Print_Area" localSheetId="28">'leeo- Slaughterhouse'!$A$1:$M$82</definedName>
    <definedName name="_xlnm.Print_Area" localSheetId="26">'leeo-Market'!$A$1:$M$81</definedName>
    <definedName name="_xlnm.Print_Area" localSheetId="27">'leeo-Terminal'!$A$1:$M$87</definedName>
    <definedName name="_xlnm.Print_Area" localSheetId="12">macco!$A$1:$M$99</definedName>
    <definedName name="_xlnm.Print_Area" localSheetId="22">mago!$A$1:$M$114</definedName>
    <definedName name="_xlnm.Print_Area" localSheetId="14">masso!$A$1:$M$73</definedName>
    <definedName name="_xlnm.Print_Area" localSheetId="11">mbo!$A$1:$M$91</definedName>
    <definedName name="_xlnm.Print_Area" localSheetId="9">mcro!$A$1:$M$74</definedName>
    <definedName name="_xlnm.Print_Area" localSheetId="17">mctc!$A$1:$M$49</definedName>
    <definedName name="_xlnm.Print_Area" localSheetId="23">MENRO!$A$1:$M$109</definedName>
    <definedName name="_xlnm.Print_Area" localSheetId="24">meo!$A$1:$M$81</definedName>
    <definedName name="_xlnm.Print_Area" localSheetId="20">mho!$A$1:$M$96</definedName>
    <definedName name="_xlnm.Print_Area" localSheetId="1">mmo!$A$1:$M$119</definedName>
    <definedName name="_xlnm.Print_Area" localSheetId="8">mpdo!$A$1:$M$88</definedName>
    <definedName name="_xlnm.Print_Area" localSheetId="21">mswdo!$A$1:$M$84</definedName>
    <definedName name="_xlnm.Print_Area" localSheetId="13">mto!$A$1:$M$91</definedName>
    <definedName name="_xlnm.Print_Area" localSheetId="25">OBO!$A$1:$O$70</definedName>
    <definedName name="_xlnm.Print_Area" localSheetId="3">osca!$A$1:$M$53</definedName>
    <definedName name="_xlnm.Print_Area" localSheetId="18">pnp!$A$1:$M$50</definedName>
    <definedName name="_xlnm.Print_Area" localSheetId="29">'ProgProjAct 09-22-22'!$A$2:$M$320</definedName>
    <definedName name="_xlnm.Print_Area" localSheetId="4">sbo!$A$1:$M$90</definedName>
    <definedName name="_xlnm.Print_Area" localSheetId="5">ssbo!$A$1:$M$84</definedName>
    <definedName name="_xlnm.Print_Area" localSheetId="2">vmo!$A$1:$M$84</definedName>
    <definedName name="_xlnm.Print_Titles" localSheetId="31">'20% LDF 9-13-22'!$1:$13</definedName>
    <definedName name="_xlnm.Print_Titles" localSheetId="32">'5% MDRRMF 9-23-22'!$1:$13</definedName>
    <definedName name="_xlnm.Print_Titles" localSheetId="6">admin!$1:$13</definedName>
    <definedName name="_xlnm.Print_Titles" localSheetId="0">'FORM 1 GF'!$1:$11</definedName>
    <definedName name="_xlnm.Print_Titles" localSheetId="30">'Gender &amp; Dev''t. 09-15-22'!$3:$12</definedName>
    <definedName name="_xlnm.Print_Titles" localSheetId="10">gso!$1:$13</definedName>
    <definedName name="_xlnm.Print_Titles" localSheetId="7">hrmo!$1:$13</definedName>
    <definedName name="_xlnm.Print_Titles" localSheetId="28">'leeo- Slaughterhouse'!$1:$13</definedName>
    <definedName name="_xlnm.Print_Titles" localSheetId="26">'leeo-Market'!$1:$13</definedName>
    <definedName name="_xlnm.Print_Titles" localSheetId="27">'leeo-Terminal'!$1:$13</definedName>
    <definedName name="_xlnm.Print_Titles" localSheetId="12">macco!$1:$13</definedName>
    <definedName name="_xlnm.Print_Titles" localSheetId="22">mago!$1:$13</definedName>
    <definedName name="_xlnm.Print_Titles" localSheetId="14">masso!$1:$13</definedName>
    <definedName name="_xlnm.Print_Titles" localSheetId="11">mbo!$1:$13</definedName>
    <definedName name="_xlnm.Print_Titles" localSheetId="9">mcro!$1:$13</definedName>
    <definedName name="_xlnm.Print_Titles" localSheetId="23">MENRO!$1:$13</definedName>
    <definedName name="_xlnm.Print_Titles" localSheetId="24">meo!$1:$13</definedName>
    <definedName name="_xlnm.Print_Titles" localSheetId="20">mho!$1:$13</definedName>
    <definedName name="_xlnm.Print_Titles" localSheetId="1">mmo!$1:$13</definedName>
    <definedName name="_xlnm.Print_Titles" localSheetId="8">mpdo!$1:$13</definedName>
    <definedName name="_xlnm.Print_Titles" localSheetId="21">mswdo!$1:$13</definedName>
    <definedName name="_xlnm.Print_Titles" localSheetId="13">mto!$1:$13</definedName>
    <definedName name="_xlnm.Print_Titles" localSheetId="3">osca!$1:$13</definedName>
    <definedName name="_xlnm.Print_Titles" localSheetId="29">'ProgProjAct 09-22-22'!$1:$12</definedName>
    <definedName name="_xlnm.Print_Titles" localSheetId="4">sbo!$1:$13</definedName>
    <definedName name="_xlnm.Print_Titles" localSheetId="5">ssbo!$1:$13</definedName>
    <definedName name="_xlnm.Print_Titles" localSheetId="2">vmo!$1:$13</definedName>
  </definedNames>
  <calcPr calcId="152511"/>
</workbook>
</file>

<file path=xl/calcChain.xml><?xml version="1.0" encoding="utf-8"?>
<calcChain xmlns="http://schemas.openxmlformats.org/spreadsheetml/2006/main">
  <c r="R266" i="100" l="1"/>
  <c r="R267" i="100" s="1"/>
  <c r="P266" i="100"/>
  <c r="J266" i="100"/>
  <c r="N265" i="100"/>
  <c r="L264" i="100"/>
  <c r="N264" i="100" s="1"/>
  <c r="L263" i="100"/>
  <c r="N263" i="100" s="1"/>
  <c r="N262" i="100"/>
  <c r="L261" i="100"/>
  <c r="N261" i="100" s="1"/>
  <c r="N259" i="100"/>
  <c r="L259" i="100"/>
  <c r="L266" i="100" s="1"/>
  <c r="R257" i="100"/>
  <c r="L257" i="100"/>
  <c r="J257" i="100"/>
  <c r="P255" i="100"/>
  <c r="P257" i="100" s="1"/>
  <c r="N255" i="100"/>
  <c r="N257" i="100" s="1"/>
  <c r="L255" i="100"/>
  <c r="R253" i="100"/>
  <c r="P253" i="100"/>
  <c r="N252" i="100"/>
  <c r="J252" i="100"/>
  <c r="N251" i="100"/>
  <c r="N250" i="100"/>
  <c r="J250" i="100"/>
  <c r="N249" i="100"/>
  <c r="J249" i="100"/>
  <c r="L248" i="100"/>
  <c r="N248" i="100" s="1"/>
  <c r="N246" i="100"/>
  <c r="N244" i="100"/>
  <c r="N242" i="100"/>
  <c r="N240" i="100"/>
  <c r="N237" i="100"/>
  <c r="N235" i="100"/>
  <c r="N233" i="100"/>
  <c r="N231" i="100"/>
  <c r="N228" i="100"/>
  <c r="N226" i="100"/>
  <c r="N224" i="100"/>
  <c r="J224" i="100"/>
  <c r="N222" i="100"/>
  <c r="J222" i="100"/>
  <c r="L220" i="100"/>
  <c r="N220" i="100" s="1"/>
  <c r="J220" i="100"/>
  <c r="N219" i="100"/>
  <c r="J219" i="100"/>
  <c r="N218" i="100"/>
  <c r="J218" i="100"/>
  <c r="N217" i="100"/>
  <c r="L217" i="100"/>
  <c r="N215" i="100"/>
  <c r="J215" i="100"/>
  <c r="N214" i="100"/>
  <c r="J214" i="100"/>
  <c r="N213" i="100"/>
  <c r="J213" i="100"/>
  <c r="N211" i="100"/>
  <c r="N210" i="100"/>
  <c r="J210" i="100"/>
  <c r="N208" i="100"/>
  <c r="N207" i="100"/>
  <c r="J207" i="100"/>
  <c r="N206" i="100"/>
  <c r="N205" i="100"/>
  <c r="J205" i="100"/>
  <c r="L204" i="100"/>
  <c r="N204" i="100" s="1"/>
  <c r="J204" i="100"/>
  <c r="N203" i="100"/>
  <c r="J203" i="100"/>
  <c r="N202" i="100"/>
  <c r="J202" i="100"/>
  <c r="N201" i="100"/>
  <c r="L200" i="100"/>
  <c r="N200" i="100" s="1"/>
  <c r="N199" i="100"/>
  <c r="L199" i="100"/>
  <c r="N197" i="100"/>
  <c r="N196" i="100"/>
  <c r="N195" i="100"/>
  <c r="J195" i="100"/>
  <c r="N194" i="100"/>
  <c r="N193" i="100"/>
  <c r="N192" i="100"/>
  <c r="J192" i="100"/>
  <c r="N191" i="100"/>
  <c r="J191" i="100"/>
  <c r="N190" i="100"/>
  <c r="J190" i="100"/>
  <c r="N189" i="100"/>
  <c r="J189" i="100"/>
  <c r="N188" i="100"/>
  <c r="J188" i="100"/>
  <c r="N187" i="100"/>
  <c r="J186" i="100"/>
  <c r="L185" i="100"/>
  <c r="N185" i="100" s="1"/>
  <c r="J184" i="100"/>
  <c r="L183" i="100"/>
  <c r="N183" i="100" s="1"/>
  <c r="L182" i="100"/>
  <c r="N182" i="100" s="1"/>
  <c r="J182" i="100"/>
  <c r="N181" i="100"/>
  <c r="N180" i="100"/>
  <c r="J180" i="100"/>
  <c r="N179" i="100"/>
  <c r="J179" i="100"/>
  <c r="N178" i="100"/>
  <c r="J178" i="100"/>
  <c r="N177" i="100"/>
  <c r="N176" i="100"/>
  <c r="N175" i="100"/>
  <c r="N174" i="100"/>
  <c r="J174" i="100"/>
  <c r="N173" i="100"/>
  <c r="J173" i="100"/>
  <c r="N172" i="100"/>
  <c r="J172" i="100"/>
  <c r="N171" i="100"/>
  <c r="J171" i="100"/>
  <c r="N170" i="100"/>
  <c r="J170" i="100"/>
  <c r="J253" i="100" s="1"/>
  <c r="J267" i="100" s="1"/>
  <c r="N169" i="100"/>
  <c r="L169" i="100"/>
  <c r="T165" i="100"/>
  <c r="S165" i="100"/>
  <c r="R165" i="100"/>
  <c r="P165" i="100"/>
  <c r="J165" i="100"/>
  <c r="N164" i="100"/>
  <c r="N163" i="100"/>
  <c r="L163" i="100"/>
  <c r="L162" i="100"/>
  <c r="N162" i="100" s="1"/>
  <c r="L161" i="100"/>
  <c r="N161" i="100" s="1"/>
  <c r="N160" i="100"/>
  <c r="N159" i="100"/>
  <c r="N158" i="100"/>
  <c r="L158" i="100"/>
  <c r="L157" i="100"/>
  <c r="N157" i="100" s="1"/>
  <c r="L156" i="100"/>
  <c r="N156" i="100" s="1"/>
  <c r="N155" i="100"/>
  <c r="L155" i="100"/>
  <c r="N154" i="100"/>
  <c r="L154" i="100"/>
  <c r="L153" i="100"/>
  <c r="N153" i="100" s="1"/>
  <c r="L152" i="100"/>
  <c r="N152" i="100" s="1"/>
  <c r="N151" i="100"/>
  <c r="L150" i="100"/>
  <c r="N150" i="100" s="1"/>
  <c r="N149" i="100"/>
  <c r="L149" i="100"/>
  <c r="N148" i="100"/>
  <c r="L148" i="100"/>
  <c r="L147" i="100"/>
  <c r="N147" i="100" s="1"/>
  <c r="L146" i="100"/>
  <c r="N146" i="100" s="1"/>
  <c r="N145" i="100"/>
  <c r="L145" i="100"/>
  <c r="N144" i="100"/>
  <c r="L144" i="100"/>
  <c r="L143" i="100"/>
  <c r="N143" i="100" s="1"/>
  <c r="L142" i="100"/>
  <c r="N142" i="100" s="1"/>
  <c r="N141" i="100"/>
  <c r="L141" i="100"/>
  <c r="N140" i="100"/>
  <c r="L140" i="100"/>
  <c r="L139" i="100"/>
  <c r="N139" i="100" s="1"/>
  <c r="L138" i="100"/>
  <c r="N138" i="100" s="1"/>
  <c r="N137" i="100"/>
  <c r="L137" i="100"/>
  <c r="N136" i="100"/>
  <c r="L136" i="100"/>
  <c r="L135" i="100"/>
  <c r="N135" i="100" s="1"/>
  <c r="L134" i="100"/>
  <c r="N134" i="100" s="1"/>
  <c r="N133" i="100"/>
  <c r="L133" i="100"/>
  <c r="N132" i="100"/>
  <c r="L132" i="100"/>
  <c r="L131" i="100"/>
  <c r="N131" i="100" s="1"/>
  <c r="L130" i="100"/>
  <c r="N130" i="100" s="1"/>
  <c r="N129" i="100"/>
  <c r="L129" i="100"/>
  <c r="L165" i="100" s="1"/>
  <c r="N128" i="100"/>
  <c r="L128" i="100"/>
  <c r="R124" i="100"/>
  <c r="P124" i="100"/>
  <c r="P267" i="100" s="1"/>
  <c r="J124" i="100"/>
  <c r="L123" i="100"/>
  <c r="N123" i="100" s="1"/>
  <c r="L122" i="100"/>
  <c r="N122" i="100" s="1"/>
  <c r="N121" i="100"/>
  <c r="N120" i="100"/>
  <c r="N119" i="100"/>
  <c r="N118" i="100"/>
  <c r="L118" i="100"/>
  <c r="N117" i="100"/>
  <c r="L117" i="100"/>
  <c r="N115" i="100"/>
  <c r="N114" i="100"/>
  <c r="L114" i="100"/>
  <c r="N113" i="100"/>
  <c r="L113" i="100"/>
  <c r="L112" i="100"/>
  <c r="N112" i="100" s="1"/>
  <c r="L111" i="100"/>
  <c r="N111" i="100" s="1"/>
  <c r="N110" i="100"/>
  <c r="L110" i="100"/>
  <c r="N109" i="100"/>
  <c r="L109" i="100"/>
  <c r="L108" i="100"/>
  <c r="N108" i="100" s="1"/>
  <c r="N106" i="100"/>
  <c r="N105" i="100"/>
  <c r="L104" i="100"/>
  <c r="N104" i="100" s="1"/>
  <c r="L103" i="100"/>
  <c r="N103" i="100" s="1"/>
  <c r="L102" i="100"/>
  <c r="N102" i="100" s="1"/>
  <c r="N101" i="100"/>
  <c r="L101" i="100"/>
  <c r="N100" i="100"/>
  <c r="L100" i="100"/>
  <c r="L99" i="100"/>
  <c r="N99" i="100" s="1"/>
  <c r="L98" i="100"/>
  <c r="N98" i="100" s="1"/>
  <c r="N96" i="100"/>
  <c r="L96" i="100"/>
  <c r="N95" i="100"/>
  <c r="L95" i="100"/>
  <c r="R85" i="100"/>
  <c r="S85" i="100" s="1"/>
  <c r="P85" i="100"/>
  <c r="L85" i="100"/>
  <c r="J85" i="100"/>
  <c r="T84" i="100"/>
  <c r="N84" i="100"/>
  <c r="N83" i="100"/>
  <c r="N82" i="100"/>
  <c r="N85" i="100" s="1"/>
  <c r="N81" i="100"/>
  <c r="T79" i="100"/>
  <c r="N79" i="100"/>
  <c r="S78" i="100"/>
  <c r="R76" i="100"/>
  <c r="S76" i="100" s="1"/>
  <c r="P76" i="100"/>
  <c r="L76" i="100"/>
  <c r="J76" i="100"/>
  <c r="T75" i="100"/>
  <c r="T76" i="100" s="1"/>
  <c r="N75" i="100"/>
  <c r="T74" i="100"/>
  <c r="N74" i="100"/>
  <c r="N73" i="100"/>
  <c r="N72" i="100"/>
  <c r="N71" i="100"/>
  <c r="S70" i="100"/>
  <c r="N70" i="100"/>
  <c r="N69" i="100"/>
  <c r="S68" i="100"/>
  <c r="N68" i="100"/>
  <c r="S67" i="100"/>
  <c r="N67" i="100"/>
  <c r="N76" i="100" s="1"/>
  <c r="P64" i="100"/>
  <c r="P87" i="100" s="1"/>
  <c r="R62" i="100"/>
  <c r="R64" i="100" s="1"/>
  <c r="P62" i="100"/>
  <c r="L62" i="100"/>
  <c r="L64" i="100" s="1"/>
  <c r="L87" i="100" s="1"/>
  <c r="J62" i="100"/>
  <c r="N60" i="100"/>
  <c r="N59" i="100"/>
  <c r="N58" i="100"/>
  <c r="N57" i="100"/>
  <c r="N55" i="100"/>
  <c r="N54" i="100"/>
  <c r="N53" i="100"/>
  <c r="N52" i="100"/>
  <c r="N51" i="100"/>
  <c r="N50" i="100"/>
  <c r="N49" i="100"/>
  <c r="N48" i="100"/>
  <c r="N47" i="100"/>
  <c r="N46" i="100"/>
  <c r="N45" i="100"/>
  <c r="N44" i="100"/>
  <c r="N43" i="100"/>
  <c r="N42" i="100"/>
  <c r="N41" i="100"/>
  <c r="N39" i="100"/>
  <c r="N38" i="100"/>
  <c r="N37" i="100"/>
  <c r="N36" i="100"/>
  <c r="N35" i="100"/>
  <c r="N62" i="100" s="1"/>
  <c r="R32" i="100"/>
  <c r="P32" i="100"/>
  <c r="L32" i="100"/>
  <c r="J32" i="100"/>
  <c r="J64" i="100" s="1"/>
  <c r="J87" i="100" s="1"/>
  <c r="N31" i="100"/>
  <c r="N30" i="100"/>
  <c r="N29" i="100"/>
  <c r="N28" i="100"/>
  <c r="N27" i="100"/>
  <c r="N26" i="100"/>
  <c r="N25" i="100"/>
  <c r="N24" i="100"/>
  <c r="S23" i="100"/>
  <c r="S24" i="100" s="1"/>
  <c r="N23" i="100"/>
  <c r="N22" i="100"/>
  <c r="N32" i="100" s="1"/>
  <c r="R17" i="100"/>
  <c r="P17" i="100"/>
  <c r="L17" i="100"/>
  <c r="J17" i="100"/>
  <c r="N15" i="100"/>
  <c r="N13" i="100"/>
  <c r="N17" i="100" s="1"/>
  <c r="S86" i="100" l="1"/>
  <c r="P269" i="100"/>
  <c r="P90" i="100"/>
  <c r="N124" i="100"/>
  <c r="J90" i="100"/>
  <c r="J269" i="100"/>
  <c r="N253" i="100"/>
  <c r="R87" i="100"/>
  <c r="S64" i="100"/>
  <c r="T80" i="100"/>
  <c r="T85" i="100" s="1"/>
  <c r="N64" i="100"/>
  <c r="N87" i="100" s="1"/>
  <c r="N165" i="100"/>
  <c r="L90" i="100"/>
  <c r="N266" i="100"/>
  <c r="S62" i="100"/>
  <c r="L253" i="100"/>
  <c r="L267" i="100" s="1"/>
  <c r="L269" i="100" s="1"/>
  <c r="L124" i="100"/>
  <c r="L316" i="87"/>
  <c r="H295" i="87"/>
  <c r="H287" i="87"/>
  <c r="H290" i="87"/>
  <c r="H291" i="87"/>
  <c r="H292" i="87"/>
  <c r="H280" i="87"/>
  <c r="H255" i="87"/>
  <c r="H252" i="87"/>
  <c r="H249" i="87"/>
  <c r="H259" i="87"/>
  <c r="H242" i="87"/>
  <c r="H241" i="87"/>
  <c r="H239" i="87"/>
  <c r="H238" i="87"/>
  <c r="H246" i="87"/>
  <c r="H231" i="87"/>
  <c r="H227" i="87"/>
  <c r="H226" i="87"/>
  <c r="H225" i="87"/>
  <c r="H223" i="87"/>
  <c r="H220" i="87"/>
  <c r="H219" i="87"/>
  <c r="H218" i="87"/>
  <c r="H216" i="87"/>
  <c r="H215" i="87"/>
  <c r="H235" i="87"/>
  <c r="H234" i="87"/>
  <c r="H232" i="87"/>
  <c r="H204" i="87"/>
  <c r="H211" i="87"/>
  <c r="H202" i="87"/>
  <c r="H207" i="87"/>
  <c r="H199" i="87"/>
  <c r="H197" i="87"/>
  <c r="H196" i="87"/>
  <c r="H195" i="87"/>
  <c r="H194" i="87"/>
  <c r="H193" i="87"/>
  <c r="H185" i="87"/>
  <c r="H175" i="87"/>
  <c r="H36" i="87"/>
  <c r="H37" i="87"/>
  <c r="H38" i="87"/>
  <c r="H82" i="87"/>
  <c r="H80" i="87"/>
  <c r="H86" i="87"/>
  <c r="H77" i="87"/>
  <c r="H74" i="87"/>
  <c r="H70" i="87"/>
  <c r="H68" i="87"/>
  <c r="H67" i="87"/>
  <c r="H64" i="87"/>
  <c r="H62" i="87"/>
  <c r="H59" i="87"/>
  <c r="H58" i="87"/>
  <c r="F316" i="87"/>
  <c r="H271" i="87"/>
  <c r="H270" i="87"/>
  <c r="H186" i="87"/>
  <c r="H183" i="87"/>
  <c r="H136" i="87"/>
  <c r="H135" i="87"/>
  <c r="H133" i="87"/>
  <c r="H132" i="87"/>
  <c r="H131" i="87"/>
  <c r="H128" i="87"/>
  <c r="H127" i="87"/>
  <c r="H125" i="87"/>
  <c r="H124" i="87"/>
  <c r="H123" i="87"/>
  <c r="H120" i="87"/>
  <c r="H119" i="87"/>
  <c r="H118" i="87"/>
  <c r="H116" i="87"/>
  <c r="H115" i="87"/>
  <c r="H114" i="87"/>
  <c r="H111" i="87"/>
  <c r="H110" i="87"/>
  <c r="H109" i="87"/>
  <c r="H107" i="87"/>
  <c r="H106" i="87"/>
  <c r="H105" i="87"/>
  <c r="H144" i="87"/>
  <c r="R269" i="100" l="1"/>
  <c r="S87" i="100"/>
  <c r="R90" i="100"/>
  <c r="N267" i="100"/>
  <c r="N269" i="100"/>
  <c r="N90" i="100"/>
  <c r="S88" i="100"/>
  <c r="M58" i="40"/>
  <c r="H56" i="88"/>
  <c r="H54" i="88"/>
  <c r="H53" i="88"/>
  <c r="H52" i="88"/>
  <c r="H51" i="88"/>
  <c r="H49" i="88"/>
  <c r="H48" i="88"/>
  <c r="H47" i="88"/>
  <c r="H46" i="88"/>
  <c r="H78" i="88"/>
  <c r="T103" i="100" l="1"/>
  <c r="T104" i="100" s="1"/>
  <c r="S91" i="100"/>
  <c r="T90" i="100"/>
  <c r="H102" i="87"/>
  <c r="H101" i="87"/>
  <c r="H99" i="87"/>
  <c r="H98" i="87"/>
  <c r="H97" i="87"/>
  <c r="H49" i="87"/>
  <c r="H48" i="87"/>
  <c r="H46" i="87"/>
  <c r="H45" i="87"/>
  <c r="H44" i="87"/>
  <c r="H172" i="88" l="1"/>
  <c r="H171" i="88"/>
  <c r="H170" i="88"/>
  <c r="H115" i="88"/>
  <c r="H89" i="88"/>
  <c r="H87" i="88"/>
  <c r="H77" i="88"/>
  <c r="H76" i="88"/>
  <c r="H75" i="88"/>
  <c r="H73" i="88"/>
  <c r="H72" i="88"/>
  <c r="H70" i="88"/>
  <c r="H40" i="88"/>
  <c r="H39" i="88"/>
  <c r="H38" i="88"/>
  <c r="H37" i="88"/>
  <c r="H36" i="88"/>
  <c r="H24" i="88"/>
  <c r="M313" i="99"/>
  <c r="K313" i="99"/>
  <c r="G313" i="99"/>
  <c r="E313" i="99"/>
  <c r="I312" i="99"/>
  <c r="I311" i="99"/>
  <c r="I307" i="99"/>
  <c r="I306" i="99"/>
  <c r="I302" i="99"/>
  <c r="I301" i="99"/>
  <c r="I300" i="99"/>
  <c r="I299" i="99"/>
  <c r="I296" i="99"/>
  <c r="I293" i="99"/>
  <c r="I279" i="99"/>
  <c r="I278" i="99"/>
  <c r="I277" i="99"/>
  <c r="I276" i="99"/>
  <c r="I271" i="99"/>
  <c r="I268" i="99"/>
  <c r="I267" i="99"/>
  <c r="I266" i="99"/>
  <c r="I265" i="99"/>
  <c r="I261" i="99"/>
  <c r="I258" i="99"/>
  <c r="I257" i="99"/>
  <c r="I256" i="99"/>
  <c r="I255" i="99"/>
  <c r="I253" i="99"/>
  <c r="I250" i="99"/>
  <c r="I249" i="99"/>
  <c r="I248" i="99"/>
  <c r="I247" i="99"/>
  <c r="I244" i="99"/>
  <c r="I242" i="99"/>
  <c r="I241" i="99"/>
  <c r="I240" i="99"/>
  <c r="I239" i="99"/>
  <c r="I237" i="99"/>
  <c r="I236" i="99"/>
  <c r="I235" i="99"/>
  <c r="I233" i="99"/>
  <c r="I232" i="99"/>
  <c r="I231" i="99"/>
  <c r="I230" i="99"/>
  <c r="I229" i="99"/>
  <c r="I228" i="99"/>
  <c r="I227" i="99"/>
  <c r="I226" i="99"/>
  <c r="I223" i="99"/>
  <c r="I221" i="99"/>
  <c r="I220" i="99"/>
  <c r="I219" i="99"/>
  <c r="I218" i="99"/>
  <c r="I214" i="99"/>
  <c r="I213" i="99"/>
  <c r="I212" i="99"/>
  <c r="I209" i="99"/>
  <c r="I208" i="99"/>
  <c r="I206" i="99"/>
  <c r="I203" i="99"/>
  <c r="I202" i="99"/>
  <c r="I200" i="99"/>
  <c r="I196" i="99"/>
  <c r="I195" i="99"/>
  <c r="I193" i="99"/>
  <c r="I190" i="99"/>
  <c r="I189" i="99"/>
  <c r="I188" i="99"/>
  <c r="I187" i="99"/>
  <c r="I186" i="99"/>
  <c r="I185" i="99"/>
  <c r="I181" i="99"/>
  <c r="I178" i="99"/>
  <c r="I177" i="99"/>
  <c r="I176" i="99"/>
  <c r="I173" i="99"/>
  <c r="I172" i="99"/>
  <c r="I171" i="99"/>
  <c r="I170" i="99"/>
  <c r="I169" i="99"/>
  <c r="I166" i="99"/>
  <c r="I165" i="99"/>
  <c r="I164" i="99"/>
  <c r="I163" i="99"/>
  <c r="I162" i="99"/>
  <c r="I160" i="99"/>
  <c r="I157" i="99"/>
  <c r="I156" i="99"/>
  <c r="I155" i="99"/>
  <c r="I154" i="99"/>
  <c r="I151" i="99"/>
  <c r="I150" i="99"/>
  <c r="I149" i="99"/>
  <c r="I148" i="99"/>
  <c r="I146" i="99"/>
  <c r="I145" i="99"/>
  <c r="I144" i="99"/>
  <c r="I143" i="99"/>
  <c r="I142" i="99"/>
  <c r="I141" i="99"/>
  <c r="I140" i="99"/>
  <c r="I134" i="99"/>
  <c r="I133" i="99"/>
  <c r="I132" i="99"/>
  <c r="I130" i="99"/>
  <c r="I129" i="99"/>
  <c r="I128" i="99"/>
  <c r="I127" i="99"/>
  <c r="I126" i="99"/>
  <c r="I123" i="99"/>
  <c r="I122" i="99"/>
  <c r="I120" i="99"/>
  <c r="I119" i="99"/>
  <c r="I118" i="99"/>
  <c r="I117" i="99"/>
  <c r="I116" i="99"/>
  <c r="I115" i="99"/>
  <c r="I114" i="99"/>
  <c r="I110" i="99"/>
  <c r="I109" i="99"/>
  <c r="I107" i="99"/>
  <c r="I106" i="99"/>
  <c r="I105" i="99"/>
  <c r="I104" i="99"/>
  <c r="I103" i="99"/>
  <c r="I102" i="99"/>
  <c r="I101" i="99"/>
  <c r="I100" i="99"/>
  <c r="I99" i="99"/>
  <c r="I96" i="99"/>
  <c r="I95" i="99"/>
  <c r="I93" i="99"/>
  <c r="I90" i="99"/>
  <c r="I88" i="99"/>
  <c r="I87" i="99"/>
  <c r="I85" i="99"/>
  <c r="I84" i="99"/>
  <c r="I83" i="99"/>
  <c r="I82" i="99"/>
  <c r="I78" i="99"/>
  <c r="I77" i="99"/>
  <c r="I76" i="99"/>
  <c r="I74" i="99"/>
  <c r="I69" i="99"/>
  <c r="I68" i="99"/>
  <c r="I67" i="99"/>
  <c r="I65" i="99"/>
  <c r="I63" i="99"/>
  <c r="I61" i="99"/>
  <c r="I59" i="99"/>
  <c r="I56" i="99"/>
  <c r="I55" i="99"/>
  <c r="I54" i="99"/>
  <c r="I53" i="99"/>
  <c r="I52" i="99"/>
  <c r="I51" i="99"/>
  <c r="I47" i="99"/>
  <c r="I46" i="99"/>
  <c r="I45" i="99"/>
  <c r="I44" i="99"/>
  <c r="I43" i="99"/>
  <c r="I41" i="99"/>
  <c r="I40" i="99"/>
  <c r="I39" i="99"/>
  <c r="I38" i="99"/>
  <c r="I35" i="99"/>
  <c r="I34" i="99"/>
  <c r="I33" i="99"/>
  <c r="I32" i="99"/>
  <c r="I30" i="99"/>
  <c r="I29" i="99"/>
  <c r="I28" i="99"/>
  <c r="I27" i="99"/>
  <c r="I25" i="99"/>
  <c r="M21" i="99"/>
  <c r="K21" i="99"/>
  <c r="G21" i="99"/>
  <c r="E21" i="99"/>
  <c r="I19" i="99"/>
  <c r="I18" i="99"/>
  <c r="I17" i="99"/>
  <c r="I14" i="99"/>
  <c r="K314" i="99" l="1"/>
  <c r="I21" i="99"/>
  <c r="G314" i="99"/>
  <c r="I313" i="99"/>
  <c r="E314" i="99"/>
  <c r="M314" i="99"/>
  <c r="I314" i="99" l="1"/>
  <c r="O52" i="37"/>
  <c r="O37" i="62" l="1"/>
  <c r="O39" i="62"/>
  <c r="O40" i="62"/>
  <c r="O41" i="62"/>
  <c r="O42" i="62"/>
  <c r="O43" i="62"/>
  <c r="O44" i="62"/>
  <c r="O45" i="62"/>
  <c r="O46" i="62"/>
  <c r="O48" i="62"/>
  <c r="O51" i="62"/>
  <c r="H22" i="88" l="1"/>
  <c r="H154" i="88"/>
  <c r="H150" i="88"/>
  <c r="H139" i="88"/>
  <c r="H19" i="88"/>
  <c r="E449" i="97" l="1"/>
  <c r="I66" i="78" l="1"/>
  <c r="M449" i="97" l="1"/>
  <c r="O46" i="97"/>
  <c r="I46" i="97"/>
  <c r="O74" i="97"/>
  <c r="I74" i="97"/>
  <c r="O65" i="97"/>
  <c r="I65" i="97"/>
  <c r="I446" i="97" l="1"/>
  <c r="O448" i="97"/>
  <c r="I448" i="97"/>
  <c r="O447" i="97"/>
  <c r="I447" i="97"/>
  <c r="O444" i="97"/>
  <c r="I444" i="97"/>
  <c r="O443" i="97"/>
  <c r="I443" i="97"/>
  <c r="O442" i="97"/>
  <c r="I442" i="97"/>
  <c r="O441" i="97"/>
  <c r="I441" i="97"/>
  <c r="I425" i="97"/>
  <c r="I424" i="97"/>
  <c r="I423" i="97"/>
  <c r="I420" i="97"/>
  <c r="I419" i="97"/>
  <c r="I417" i="97"/>
  <c r="I414" i="97"/>
  <c r="I413" i="97"/>
  <c r="I411" i="97"/>
  <c r="O271" i="97"/>
  <c r="I271" i="97"/>
  <c r="O267" i="97"/>
  <c r="I267" i="97"/>
  <c r="O263" i="97"/>
  <c r="I263" i="97"/>
  <c r="O259" i="97"/>
  <c r="I259" i="97"/>
  <c r="O260" i="97"/>
  <c r="I260" i="97"/>
  <c r="O261" i="97"/>
  <c r="I261" i="97"/>
  <c r="O268" i="97"/>
  <c r="I268" i="97"/>
  <c r="O266" i="97"/>
  <c r="I266" i="97"/>
  <c r="O264" i="97"/>
  <c r="I264" i="97"/>
  <c r="O262" i="97"/>
  <c r="I262" i="97"/>
  <c r="O194" i="97"/>
  <c r="I194" i="97"/>
  <c r="O48" i="97"/>
  <c r="I48" i="97"/>
  <c r="O42" i="97"/>
  <c r="I42" i="97"/>
  <c r="O52" i="97"/>
  <c r="I52" i="97"/>
  <c r="O51" i="97"/>
  <c r="I51" i="97"/>
  <c r="O50" i="97"/>
  <c r="I50" i="97"/>
  <c r="K37" i="28"/>
  <c r="I72" i="40"/>
  <c r="O446" i="97" l="1"/>
  <c r="I76" i="39"/>
  <c r="G56" i="41"/>
  <c r="E54" i="19"/>
  <c r="E72" i="19"/>
  <c r="I63" i="19"/>
  <c r="I64" i="19"/>
  <c r="I65" i="19"/>
  <c r="I66" i="19"/>
  <c r="I67" i="19"/>
  <c r="I68" i="19"/>
  <c r="I69" i="19"/>
  <c r="I61" i="19"/>
  <c r="I60" i="19"/>
  <c r="I59" i="19"/>
  <c r="I58" i="19"/>
  <c r="I94" i="71"/>
  <c r="O53" i="15"/>
  <c r="P53" i="15" s="1"/>
  <c r="I53" i="15"/>
  <c r="O52" i="15"/>
  <c r="P52" i="15" s="1"/>
  <c r="I52" i="15"/>
  <c r="O54" i="15"/>
  <c r="P54" i="15" s="1"/>
  <c r="I54" i="15"/>
  <c r="Q56" i="57" l="1"/>
  <c r="R56" i="57" s="1"/>
  <c r="P56" i="57"/>
  <c r="O56" i="57"/>
  <c r="I56" i="57"/>
  <c r="P27" i="8" l="1"/>
  <c r="I72" i="7"/>
  <c r="I71" i="7"/>
  <c r="I73" i="7"/>
  <c r="O53" i="6" l="1"/>
  <c r="I53" i="6"/>
  <c r="I60" i="5"/>
  <c r="I63" i="27"/>
  <c r="I63" i="40"/>
  <c r="I62" i="40"/>
  <c r="I61" i="40"/>
  <c r="Q48" i="39"/>
  <c r="R48" i="39" s="1"/>
  <c r="P48" i="39"/>
  <c r="O48" i="39"/>
  <c r="I48" i="39"/>
  <c r="I41" i="39"/>
  <c r="E57" i="39"/>
  <c r="O54" i="39"/>
  <c r="I54" i="39"/>
  <c r="O55" i="39"/>
  <c r="I55" i="39"/>
  <c r="I59" i="41"/>
  <c r="I96" i="72" l="1"/>
  <c r="I95" i="72"/>
  <c r="O42" i="72"/>
  <c r="M52" i="27"/>
  <c r="I42" i="72" l="1"/>
  <c r="I51" i="39"/>
  <c r="P51" i="39"/>
  <c r="Q51" i="39"/>
  <c r="R51" i="39" s="1"/>
  <c r="M66" i="57"/>
  <c r="Q64" i="57"/>
  <c r="R64" i="57" s="1"/>
  <c r="P64" i="57"/>
  <c r="O64" i="57"/>
  <c r="I64" i="57"/>
  <c r="Q63" i="57"/>
  <c r="R63" i="57" s="1"/>
  <c r="P63" i="57"/>
  <c r="O63" i="57"/>
  <c r="I63" i="57"/>
  <c r="M52" i="5" l="1"/>
  <c r="M54" i="90"/>
  <c r="M51" i="71"/>
  <c r="M59" i="72" l="1"/>
  <c r="I40" i="97" l="1"/>
  <c r="O50" i="37"/>
  <c r="M50" i="62" l="1"/>
  <c r="K436" i="97" l="1"/>
  <c r="K429" i="97"/>
  <c r="K93" i="97"/>
  <c r="M16" i="26" l="1"/>
  <c r="I65" i="57" l="1"/>
  <c r="Q62" i="57"/>
  <c r="R62" i="57" s="1"/>
  <c r="P62" i="57"/>
  <c r="O62" i="57"/>
  <c r="I62" i="57"/>
  <c r="P53" i="57"/>
  <c r="M61" i="72" l="1"/>
  <c r="O67" i="90" l="1"/>
  <c r="O66" i="90"/>
  <c r="Q59" i="27" l="1"/>
  <c r="Q58" i="27"/>
  <c r="Q57" i="27"/>
  <c r="I33" i="38" l="1"/>
  <c r="K35" i="8"/>
  <c r="I95" i="71" l="1"/>
  <c r="I93" i="71"/>
  <c r="I92" i="71"/>
  <c r="I91" i="71"/>
  <c r="I90" i="71"/>
  <c r="I89" i="71"/>
  <c r="I88" i="71"/>
  <c r="I87" i="71"/>
  <c r="I86" i="71"/>
  <c r="I85" i="71"/>
  <c r="K50" i="62"/>
  <c r="O50" i="62" s="1"/>
  <c r="O52" i="62" s="1"/>
  <c r="I71" i="19"/>
  <c r="I70" i="19"/>
  <c r="I62" i="19"/>
  <c r="I57" i="19"/>
  <c r="K43" i="19"/>
  <c r="M103" i="90"/>
  <c r="K103" i="90"/>
  <c r="I95" i="90"/>
  <c r="K63" i="90"/>
  <c r="K45" i="90"/>
  <c r="K44" i="90"/>
  <c r="K43" i="90"/>
  <c r="K41" i="90"/>
  <c r="K39" i="90"/>
  <c r="I73" i="15"/>
  <c r="I72" i="15"/>
  <c r="I65" i="15"/>
  <c r="K69" i="15"/>
  <c r="K58" i="15"/>
  <c r="K45" i="15"/>
  <c r="K43" i="15"/>
  <c r="K42" i="15"/>
  <c r="I87" i="38"/>
  <c r="I85" i="38"/>
  <c r="I83" i="38"/>
  <c r="I82" i="38"/>
  <c r="I81" i="38"/>
  <c r="I79" i="38"/>
  <c r="I77" i="38"/>
  <c r="I73" i="38"/>
  <c r="I72" i="38"/>
  <c r="K76" i="38"/>
  <c r="I76" i="38" s="1"/>
  <c r="K75" i="38"/>
  <c r="I75" i="38" s="1"/>
  <c r="K66" i="38"/>
  <c r="K45" i="38"/>
  <c r="I35" i="26"/>
  <c r="I34" i="26"/>
  <c r="I57" i="10"/>
  <c r="G81" i="57"/>
  <c r="I81" i="8"/>
  <c r="I76" i="7"/>
  <c r="K66" i="6"/>
  <c r="I65" i="6"/>
  <c r="I64" i="6"/>
  <c r="I62" i="6"/>
  <c r="I61" i="6"/>
  <c r="I60" i="6"/>
  <c r="I59" i="6"/>
  <c r="I58" i="6"/>
  <c r="K45" i="6"/>
  <c r="K44" i="6"/>
  <c r="K41" i="6"/>
  <c r="K40" i="6"/>
  <c r="K39" i="6"/>
  <c r="I71" i="5"/>
  <c r="I61" i="5"/>
  <c r="K41" i="28"/>
  <c r="K59" i="27"/>
  <c r="K58" i="27"/>
  <c r="K57" i="27"/>
  <c r="K47" i="27"/>
  <c r="K43" i="27"/>
  <c r="K42" i="27"/>
  <c r="K41" i="27"/>
  <c r="K39" i="27"/>
  <c r="K22" i="43"/>
  <c r="K18" i="43"/>
  <c r="K73" i="40"/>
  <c r="I17" i="39"/>
  <c r="I18" i="39"/>
  <c r="I19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34" i="39"/>
  <c r="I35" i="39"/>
  <c r="I16" i="39"/>
  <c r="I72" i="41"/>
  <c r="I71" i="41"/>
  <c r="I69" i="41"/>
  <c r="I68" i="41"/>
  <c r="I66" i="41"/>
  <c r="I65" i="41"/>
  <c r="I64" i="41"/>
  <c r="I63" i="41"/>
  <c r="I62" i="41"/>
  <c r="I60" i="41"/>
  <c r="I55" i="41"/>
  <c r="I54" i="41"/>
  <c r="I53" i="41"/>
  <c r="I52" i="41"/>
  <c r="I51" i="41"/>
  <c r="I50" i="41"/>
  <c r="I49" i="41"/>
  <c r="I48" i="41"/>
  <c r="I47" i="41"/>
  <c r="I46" i="41"/>
  <c r="I45" i="41"/>
  <c r="I43" i="41"/>
  <c r="I42" i="41"/>
  <c r="I41" i="41"/>
  <c r="I40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16" i="41"/>
  <c r="I106" i="72"/>
  <c r="I105" i="72"/>
  <c r="I104" i="72"/>
  <c r="I102" i="72"/>
  <c r="I101" i="72"/>
  <c r="I98" i="72"/>
  <c r="I97" i="72"/>
  <c r="I94" i="72"/>
  <c r="I93" i="72"/>
  <c r="I92" i="72"/>
  <c r="I91" i="72"/>
  <c r="I90" i="72"/>
  <c r="I89" i="72"/>
  <c r="I45" i="72"/>
  <c r="I46" i="72"/>
  <c r="I47" i="72"/>
  <c r="I48" i="72"/>
  <c r="I50" i="72"/>
  <c r="I51" i="72"/>
  <c r="I52" i="72"/>
  <c r="I53" i="72"/>
  <c r="I54" i="72"/>
  <c r="I55" i="72"/>
  <c r="I56" i="72"/>
  <c r="I57" i="72"/>
  <c r="I58" i="72"/>
  <c r="I59" i="72"/>
  <c r="I60" i="72"/>
  <c r="I66" i="72"/>
  <c r="M66" i="72" s="1"/>
  <c r="M86" i="72" s="1"/>
  <c r="I67" i="72"/>
  <c r="I68" i="72"/>
  <c r="I70" i="72"/>
  <c r="I71" i="72"/>
  <c r="I72" i="72"/>
  <c r="I73" i="72"/>
  <c r="I74" i="72"/>
  <c r="I76" i="72"/>
  <c r="I78" i="72"/>
  <c r="I79" i="72"/>
  <c r="I80" i="72"/>
  <c r="I81" i="72"/>
  <c r="I82" i="72"/>
  <c r="I83" i="72"/>
  <c r="I84" i="72"/>
  <c r="I85" i="72"/>
  <c r="K88" i="38" l="1"/>
  <c r="I88" i="38"/>
  <c r="I33" i="72"/>
  <c r="I17" i="72"/>
  <c r="I19" i="72"/>
  <c r="I20" i="72"/>
  <c r="I21" i="72"/>
  <c r="I22" i="72"/>
  <c r="I23" i="72"/>
  <c r="I24" i="72"/>
  <c r="I25" i="72"/>
  <c r="I26" i="72"/>
  <c r="I27" i="72"/>
  <c r="I28" i="72"/>
  <c r="I29" i="72"/>
  <c r="I30" i="72"/>
  <c r="I31" i="72"/>
  <c r="I32" i="72"/>
  <c r="I34" i="72"/>
  <c r="I35" i="72"/>
  <c r="I36" i="72"/>
  <c r="I16" i="72"/>
  <c r="K44" i="41"/>
  <c r="I44" i="41" s="1"/>
  <c r="K103" i="72"/>
  <c r="I103" i="72" s="1"/>
  <c r="K100" i="72"/>
  <c r="I100" i="72" s="1"/>
  <c r="K99" i="72"/>
  <c r="I99" i="72" s="1"/>
  <c r="K69" i="72"/>
  <c r="I69" i="72" s="1"/>
  <c r="K65" i="72"/>
  <c r="I65" i="72" s="1"/>
  <c r="K64" i="72"/>
  <c r="I64" i="72" s="1"/>
  <c r="K63" i="72"/>
  <c r="I63" i="72" s="1"/>
  <c r="K62" i="72"/>
  <c r="I62" i="72" s="1"/>
  <c r="K49" i="72"/>
  <c r="I49" i="72" s="1"/>
  <c r="K44" i="72"/>
  <c r="I44" i="72" s="1"/>
  <c r="K43" i="72"/>
  <c r="I43" i="72" s="1"/>
  <c r="K41" i="72"/>
  <c r="I41" i="72" s="1"/>
  <c r="K40" i="72"/>
  <c r="I40" i="72" s="1"/>
  <c r="K39" i="72"/>
  <c r="I39" i="72" s="1"/>
  <c r="M96" i="71" l="1"/>
  <c r="E96" i="71"/>
  <c r="O38" i="61"/>
  <c r="M38" i="61"/>
  <c r="K38" i="61"/>
  <c r="G38" i="61"/>
  <c r="E38" i="61"/>
  <c r="O25" i="11"/>
  <c r="M25" i="11"/>
  <c r="K25" i="11"/>
  <c r="G25" i="11"/>
  <c r="E25" i="11"/>
  <c r="H189" i="87" l="1"/>
  <c r="H190" i="87"/>
  <c r="H310" i="87" l="1"/>
  <c r="H311" i="87"/>
  <c r="H306" i="87"/>
  <c r="H304" i="87"/>
  <c r="H303" i="87"/>
  <c r="H302" i="87"/>
  <c r="H284" i="87"/>
  <c r="H281" i="87"/>
  <c r="H94" i="87"/>
  <c r="H92" i="87"/>
  <c r="H143" i="87"/>
  <c r="H140" i="87"/>
  <c r="H208" i="87"/>
  <c r="H205" i="87"/>
  <c r="H203" i="87"/>
  <c r="H177" i="87"/>
  <c r="H180" i="87"/>
  <c r="H181" i="87"/>
  <c r="H178" i="87"/>
  <c r="H176" i="87"/>
  <c r="H150" i="87"/>
  <c r="H55" i="87"/>
  <c r="H41" i="87"/>
  <c r="H39" i="87"/>
  <c r="H35" i="87"/>
  <c r="H34" i="87"/>
  <c r="H53" i="87"/>
  <c r="H52" i="87"/>
  <c r="H173" i="88" l="1"/>
  <c r="H169" i="88"/>
  <c r="H168" i="88"/>
  <c r="H166" i="88"/>
  <c r="H165" i="88"/>
  <c r="H145" i="88"/>
  <c r="H137" i="88"/>
  <c r="H135" i="88"/>
  <c r="H140" i="88"/>
  <c r="H138" i="88"/>
  <c r="H132" i="88"/>
  <c r="H121" i="88"/>
  <c r="H118" i="88"/>
  <c r="H112" i="88"/>
  <c r="H111" i="88"/>
  <c r="H108" i="88"/>
  <c r="H91" i="88"/>
  <c r="H93" i="88"/>
  <c r="H68" i="88"/>
  <c r="H63" i="88"/>
  <c r="H62" i="88"/>
  <c r="H69" i="88"/>
  <c r="H67" i="88"/>
  <c r="H58" i="88"/>
  <c r="H57" i="88"/>
  <c r="H59" i="88"/>
  <c r="H33" i="88"/>
  <c r="H32" i="88"/>
  <c r="H31" i="88"/>
  <c r="H18" i="88"/>
  <c r="H17" i="88"/>
  <c r="P45" i="38" l="1"/>
  <c r="I16" i="10" l="1"/>
  <c r="I73" i="39"/>
  <c r="I68" i="5"/>
  <c r="E37" i="27"/>
  <c r="G37" i="27"/>
  <c r="M73" i="41" l="1"/>
  <c r="P52" i="38" l="1"/>
  <c r="P76" i="38"/>
  <c r="P60" i="38"/>
  <c r="P43" i="38"/>
  <c r="P42" i="38"/>
  <c r="P48" i="38"/>
  <c r="P63" i="38"/>
  <c r="P46" i="38"/>
  <c r="P57" i="38"/>
  <c r="P54" i="38"/>
  <c r="P75" i="38"/>
  <c r="P66" i="38"/>
  <c r="P44" i="38"/>
  <c r="Q58" i="15" l="1"/>
  <c r="Q43" i="15"/>
  <c r="I94" i="90" l="1"/>
  <c r="Q86" i="72" l="1"/>
  <c r="P45" i="90" l="1"/>
  <c r="P43" i="90"/>
  <c r="P63" i="90"/>
  <c r="P44" i="90"/>
  <c r="O74" i="90"/>
  <c r="Q74" i="90" s="1"/>
  <c r="I74" i="90"/>
  <c r="P41" i="90"/>
  <c r="P66" i="90"/>
  <c r="Q66" i="90"/>
  <c r="I66" i="90"/>
  <c r="O58" i="71"/>
  <c r="Q58" i="71" s="1"/>
  <c r="I58" i="71"/>
  <c r="Q57" i="71"/>
  <c r="P52" i="71"/>
  <c r="P40" i="71"/>
  <c r="P41" i="71"/>
  <c r="P43" i="71"/>
  <c r="P42" i="71"/>
  <c r="P53" i="71"/>
  <c r="P39" i="71"/>
  <c r="P77" i="90" l="1"/>
  <c r="G449" i="97"/>
  <c r="O437" i="97"/>
  <c r="I437" i="97"/>
  <c r="I436" i="97"/>
  <c r="O435" i="97"/>
  <c r="I435" i="97"/>
  <c r="O432" i="97"/>
  <c r="I432" i="97"/>
  <c r="O431" i="97"/>
  <c r="I431" i="97"/>
  <c r="O430" i="97"/>
  <c r="I430" i="97"/>
  <c r="O429" i="97"/>
  <c r="I429" i="97"/>
  <c r="O407" i="97"/>
  <c r="I407" i="97"/>
  <c r="O406" i="97"/>
  <c r="I406" i="97"/>
  <c r="O404" i="97"/>
  <c r="I404" i="97"/>
  <c r="O403" i="97"/>
  <c r="I403" i="97"/>
  <c r="O400" i="97"/>
  <c r="I400" i="97"/>
  <c r="O399" i="97"/>
  <c r="I399" i="97"/>
  <c r="O395" i="97"/>
  <c r="I395" i="97"/>
  <c r="O394" i="97"/>
  <c r="I394" i="97"/>
  <c r="O393" i="97"/>
  <c r="I393" i="97"/>
  <c r="O392" i="97"/>
  <c r="O391" i="97"/>
  <c r="I391" i="97"/>
  <c r="O390" i="97"/>
  <c r="I390" i="97"/>
  <c r="O387" i="97"/>
  <c r="I387" i="97"/>
  <c r="O386" i="97"/>
  <c r="I386" i="97"/>
  <c r="O385" i="97"/>
  <c r="I385" i="97"/>
  <c r="O383" i="97"/>
  <c r="I383" i="97"/>
  <c r="O382" i="97"/>
  <c r="I382" i="97"/>
  <c r="O378" i="97"/>
  <c r="I378" i="97"/>
  <c r="O377" i="97"/>
  <c r="I377" i="97"/>
  <c r="O375" i="97"/>
  <c r="I375" i="97"/>
  <c r="O374" i="97"/>
  <c r="I374" i="97"/>
  <c r="O370" i="97"/>
  <c r="I370" i="97"/>
  <c r="O369" i="97"/>
  <c r="I369" i="97"/>
  <c r="O368" i="97"/>
  <c r="I368" i="97"/>
  <c r="O365" i="97"/>
  <c r="I365" i="97"/>
  <c r="O364" i="97"/>
  <c r="I364" i="97"/>
  <c r="O363" i="97"/>
  <c r="I363" i="97"/>
  <c r="O362" i="97"/>
  <c r="I362" i="97"/>
  <c r="O358" i="97"/>
  <c r="I358" i="97"/>
  <c r="O354" i="97"/>
  <c r="I354" i="97"/>
  <c r="O353" i="97"/>
  <c r="I353" i="97"/>
  <c r="O352" i="97"/>
  <c r="I352" i="97"/>
  <c r="O350" i="97"/>
  <c r="I350" i="97"/>
  <c r="O348" i="97"/>
  <c r="I348" i="97"/>
  <c r="O347" i="97"/>
  <c r="I347" i="97"/>
  <c r="O345" i="97"/>
  <c r="I345" i="97"/>
  <c r="O343" i="97"/>
  <c r="I343" i="97"/>
  <c r="O342" i="97"/>
  <c r="I342" i="97"/>
  <c r="O341" i="97"/>
  <c r="I341" i="97"/>
  <c r="O340" i="97"/>
  <c r="I340" i="97"/>
  <c r="O337" i="97"/>
  <c r="I337" i="97"/>
  <c r="O336" i="97"/>
  <c r="I336" i="97"/>
  <c r="O335" i="97"/>
  <c r="I335" i="97"/>
  <c r="O334" i="97"/>
  <c r="I334" i="97"/>
  <c r="O333" i="97"/>
  <c r="I333" i="97"/>
  <c r="O332" i="97"/>
  <c r="I332" i="97"/>
  <c r="O331" i="97"/>
  <c r="I331" i="97"/>
  <c r="O330" i="97"/>
  <c r="I330" i="97"/>
  <c r="O329" i="97"/>
  <c r="I329" i="97"/>
  <c r="O328" i="97"/>
  <c r="I328" i="97"/>
  <c r="O325" i="97"/>
  <c r="I325" i="97"/>
  <c r="O321" i="97"/>
  <c r="I321" i="97"/>
  <c r="O320" i="97"/>
  <c r="I320" i="97"/>
  <c r="O319" i="97"/>
  <c r="I319" i="97"/>
  <c r="O317" i="97"/>
  <c r="I317" i="97"/>
  <c r="O316" i="97"/>
  <c r="I316" i="97"/>
  <c r="O315" i="97"/>
  <c r="I315" i="97"/>
  <c r="O314" i="97"/>
  <c r="I314" i="97"/>
  <c r="O311" i="97"/>
  <c r="I311" i="97"/>
  <c r="O310" i="97"/>
  <c r="I310" i="97"/>
  <c r="I307" i="97"/>
  <c r="O306" i="97"/>
  <c r="I306" i="97"/>
  <c r="O305" i="97"/>
  <c r="I305" i="97"/>
  <c r="O304" i="97"/>
  <c r="I304" i="97"/>
  <c r="O303" i="97"/>
  <c r="I303" i="97"/>
  <c r="O301" i="97"/>
  <c r="I301" i="97"/>
  <c r="O300" i="97"/>
  <c r="I300" i="97"/>
  <c r="O299" i="97"/>
  <c r="I299" i="97"/>
  <c r="O298" i="97"/>
  <c r="I298" i="97"/>
  <c r="O297" i="97"/>
  <c r="I297" i="97"/>
  <c r="O296" i="97"/>
  <c r="I296" i="97"/>
  <c r="O292" i="97"/>
  <c r="I292" i="97"/>
  <c r="O291" i="97"/>
  <c r="I291" i="97"/>
  <c r="O289" i="97"/>
  <c r="I289" i="97"/>
  <c r="O287" i="97"/>
  <c r="I287" i="97"/>
  <c r="O286" i="97"/>
  <c r="I286" i="97"/>
  <c r="O285" i="97"/>
  <c r="I285" i="97"/>
  <c r="O284" i="97"/>
  <c r="I284" i="97"/>
  <c r="O283" i="97"/>
  <c r="I283" i="97"/>
  <c r="O280" i="97"/>
  <c r="I280" i="97"/>
  <c r="O279" i="97"/>
  <c r="I279" i="97"/>
  <c r="O278" i="97"/>
  <c r="I278" i="97"/>
  <c r="O276" i="97"/>
  <c r="I276" i="97"/>
  <c r="O275" i="97"/>
  <c r="I275" i="97"/>
  <c r="O274" i="97"/>
  <c r="I274" i="97"/>
  <c r="O256" i="97"/>
  <c r="I256" i="97"/>
  <c r="O255" i="97"/>
  <c r="I255" i="97"/>
  <c r="O253" i="97"/>
  <c r="I253" i="97"/>
  <c r="O252" i="97"/>
  <c r="I252" i="97"/>
  <c r="O249" i="97"/>
  <c r="I249" i="97"/>
  <c r="O247" i="97"/>
  <c r="I247" i="97"/>
  <c r="O246" i="97"/>
  <c r="I246" i="97"/>
  <c r="O245" i="97"/>
  <c r="I245" i="97"/>
  <c r="O244" i="97"/>
  <c r="I244" i="97"/>
  <c r="O241" i="97"/>
  <c r="I241" i="97"/>
  <c r="O240" i="97"/>
  <c r="I240" i="97"/>
  <c r="O239" i="97"/>
  <c r="I239" i="97"/>
  <c r="O235" i="97"/>
  <c r="I235" i="97"/>
  <c r="O234" i="97"/>
  <c r="I234" i="97"/>
  <c r="O232" i="97"/>
  <c r="I232" i="97"/>
  <c r="O231" i="97"/>
  <c r="I231" i="97"/>
  <c r="O230" i="97"/>
  <c r="I230" i="97"/>
  <c r="O229" i="97"/>
  <c r="I229" i="97"/>
  <c r="O228" i="97"/>
  <c r="I228" i="97"/>
  <c r="O225" i="97"/>
  <c r="I225" i="97"/>
  <c r="O224" i="97"/>
  <c r="I224" i="97"/>
  <c r="O223" i="97"/>
  <c r="I223" i="97"/>
  <c r="O221" i="97"/>
  <c r="I221" i="97"/>
  <c r="O220" i="97"/>
  <c r="I220" i="97"/>
  <c r="O219" i="97"/>
  <c r="I219" i="97"/>
  <c r="O218" i="97"/>
  <c r="I218" i="97"/>
  <c r="O217" i="97"/>
  <c r="I217" i="97"/>
  <c r="O214" i="97"/>
  <c r="I214" i="97"/>
  <c r="O213" i="97"/>
  <c r="I213" i="97"/>
  <c r="O210" i="97"/>
  <c r="I210" i="97"/>
  <c r="O209" i="97"/>
  <c r="I209" i="97"/>
  <c r="O207" i="97"/>
  <c r="I207" i="97"/>
  <c r="O206" i="97"/>
  <c r="I206" i="97"/>
  <c r="O203" i="97"/>
  <c r="I203" i="97"/>
  <c r="O202" i="97"/>
  <c r="I202" i="97"/>
  <c r="O201" i="97"/>
  <c r="I201" i="97"/>
  <c r="O199" i="97"/>
  <c r="I199" i="97"/>
  <c r="O198" i="97"/>
  <c r="I198" i="97"/>
  <c r="O195" i="97"/>
  <c r="I195" i="97"/>
  <c r="O193" i="97"/>
  <c r="I193" i="97"/>
  <c r="O191" i="97"/>
  <c r="I191" i="97"/>
  <c r="O190" i="97"/>
  <c r="I190" i="97"/>
  <c r="O187" i="97"/>
  <c r="I187" i="97"/>
  <c r="O183" i="97"/>
  <c r="I183" i="97"/>
  <c r="O179" i="97"/>
  <c r="I179" i="97"/>
  <c r="O177" i="97"/>
  <c r="I177" i="97"/>
  <c r="O176" i="97"/>
  <c r="I176" i="97"/>
  <c r="O175" i="97"/>
  <c r="I175" i="97"/>
  <c r="O172" i="97"/>
  <c r="I172" i="97"/>
  <c r="O170" i="97"/>
  <c r="I170" i="97"/>
  <c r="O169" i="97"/>
  <c r="I169" i="97"/>
  <c r="O168" i="97"/>
  <c r="I168" i="97"/>
  <c r="O167" i="97"/>
  <c r="I167" i="97"/>
  <c r="O165" i="97"/>
  <c r="I165" i="97"/>
  <c r="O164" i="97"/>
  <c r="I164" i="97"/>
  <c r="O163" i="97"/>
  <c r="I163" i="97"/>
  <c r="O162" i="97"/>
  <c r="I162" i="97"/>
  <c r="O161" i="97"/>
  <c r="I161" i="97"/>
  <c r="O156" i="97"/>
  <c r="I156" i="97"/>
  <c r="O154" i="97"/>
  <c r="I154" i="97"/>
  <c r="O153" i="97"/>
  <c r="I153" i="97"/>
  <c r="O152" i="97"/>
  <c r="I152" i="97"/>
  <c r="O148" i="97"/>
  <c r="I148" i="97"/>
  <c r="O147" i="97"/>
  <c r="I147" i="97"/>
  <c r="O143" i="97"/>
  <c r="I143" i="97"/>
  <c r="O142" i="97"/>
  <c r="I142" i="97"/>
  <c r="O137" i="97"/>
  <c r="I137" i="97"/>
  <c r="O136" i="97"/>
  <c r="I136" i="97"/>
  <c r="O133" i="97"/>
  <c r="I133" i="97"/>
  <c r="O132" i="97"/>
  <c r="I132" i="97"/>
  <c r="O129" i="97"/>
  <c r="I129" i="97"/>
  <c r="O127" i="97"/>
  <c r="I127" i="97"/>
  <c r="O124" i="97"/>
  <c r="I124" i="97"/>
  <c r="O123" i="97"/>
  <c r="I123" i="97"/>
  <c r="O122" i="97"/>
  <c r="I122" i="97"/>
  <c r="O121" i="97"/>
  <c r="I121" i="97"/>
  <c r="O120" i="97"/>
  <c r="I120" i="97"/>
  <c r="O119" i="97"/>
  <c r="I119" i="97"/>
  <c r="O117" i="97"/>
  <c r="I117" i="97"/>
  <c r="O116" i="97"/>
  <c r="I116" i="97"/>
  <c r="O115" i="97"/>
  <c r="I115" i="97"/>
  <c r="O114" i="97"/>
  <c r="I114" i="97"/>
  <c r="O113" i="97"/>
  <c r="I113" i="97"/>
  <c r="O112" i="97"/>
  <c r="I112" i="97"/>
  <c r="O111" i="97"/>
  <c r="I111" i="97"/>
  <c r="O110" i="97"/>
  <c r="I110" i="97"/>
  <c r="O109" i="97"/>
  <c r="I109" i="97"/>
  <c r="O105" i="97"/>
  <c r="I105" i="97"/>
  <c r="O102" i="97"/>
  <c r="I102" i="97"/>
  <c r="O101" i="97"/>
  <c r="I101" i="97"/>
  <c r="O100" i="97"/>
  <c r="I100" i="97"/>
  <c r="O99" i="97"/>
  <c r="I99" i="97"/>
  <c r="O97" i="97"/>
  <c r="I97" i="97"/>
  <c r="O96" i="97"/>
  <c r="I96" i="97"/>
  <c r="O95" i="97"/>
  <c r="I95" i="97"/>
  <c r="O94" i="97"/>
  <c r="I94" i="97"/>
  <c r="O93" i="97"/>
  <c r="I93" i="97"/>
  <c r="O91" i="97"/>
  <c r="I91" i="97"/>
  <c r="O90" i="97"/>
  <c r="I90" i="97"/>
  <c r="O89" i="97"/>
  <c r="I89" i="97"/>
  <c r="O85" i="97"/>
  <c r="I85" i="97"/>
  <c r="O81" i="97"/>
  <c r="I81" i="97"/>
  <c r="O79" i="97"/>
  <c r="I79" i="97"/>
  <c r="O78" i="97"/>
  <c r="I78" i="97"/>
  <c r="O75" i="97"/>
  <c r="I75" i="97"/>
  <c r="O72" i="97"/>
  <c r="I72" i="97"/>
  <c r="O69" i="97"/>
  <c r="I69" i="97"/>
  <c r="O67" i="97"/>
  <c r="I67" i="97"/>
  <c r="O66" i="97"/>
  <c r="I66" i="97"/>
  <c r="O64" i="97"/>
  <c r="I64" i="97"/>
  <c r="O61" i="97"/>
  <c r="I61" i="97"/>
  <c r="O57" i="97"/>
  <c r="I57" i="97"/>
  <c r="O55" i="97"/>
  <c r="I55" i="97"/>
  <c r="O47" i="97"/>
  <c r="I47" i="97"/>
  <c r="O45" i="97"/>
  <c r="I45" i="97"/>
  <c r="O39" i="97"/>
  <c r="I39" i="97"/>
  <c r="O38" i="97"/>
  <c r="I38" i="97"/>
  <c r="O37" i="97"/>
  <c r="I37" i="97"/>
  <c r="O33" i="97"/>
  <c r="I33" i="97"/>
  <c r="O30" i="97"/>
  <c r="I30" i="97"/>
  <c r="O29" i="97"/>
  <c r="I29" i="97"/>
  <c r="O28" i="97"/>
  <c r="I28" i="97"/>
  <c r="O27" i="97"/>
  <c r="I27" i="97"/>
  <c r="O24" i="97"/>
  <c r="I24" i="97"/>
  <c r="O23" i="97"/>
  <c r="I23" i="97"/>
  <c r="O22" i="97"/>
  <c r="I22" i="97"/>
  <c r="O21" i="97"/>
  <c r="I21" i="97"/>
  <c r="O20" i="97"/>
  <c r="I20" i="97"/>
  <c r="O19" i="97"/>
  <c r="I19" i="97"/>
  <c r="O18" i="97"/>
  <c r="I18" i="97"/>
  <c r="O17" i="97"/>
  <c r="I17" i="97"/>
  <c r="O16" i="97"/>
  <c r="I16" i="97"/>
  <c r="K449" i="97" l="1"/>
  <c r="O436" i="97"/>
  <c r="P407" i="97"/>
  <c r="I92" i="97"/>
  <c r="I449" i="97" s="1"/>
  <c r="O92" i="97"/>
  <c r="O449" i="97" l="1"/>
  <c r="I34" i="90"/>
  <c r="I37" i="38"/>
  <c r="O56" i="71" l="1"/>
  <c r="O55" i="71"/>
  <c r="M82" i="71"/>
  <c r="O54" i="41" l="1"/>
  <c r="O50" i="41"/>
  <c r="P88" i="38" l="1"/>
  <c r="P64" i="38"/>
  <c r="O63" i="38"/>
  <c r="I63" i="38"/>
  <c r="P53" i="38"/>
  <c r="O59" i="38"/>
  <c r="Q59" i="38" s="1"/>
  <c r="I59" i="38"/>
  <c r="O62" i="38"/>
  <c r="I62" i="38"/>
  <c r="O88" i="38"/>
  <c r="O61" i="38"/>
  <c r="I61" i="38"/>
  <c r="Q54" i="38"/>
  <c r="R54" i="38" s="1"/>
  <c r="O54" i="38"/>
  <c r="I54" i="38"/>
  <c r="O64" i="38"/>
  <c r="I64" i="38"/>
  <c r="Q45" i="38"/>
  <c r="P67" i="38" l="1"/>
  <c r="P90" i="38" s="1"/>
  <c r="M67" i="38"/>
  <c r="I55" i="71"/>
  <c r="P82" i="71"/>
  <c r="P86" i="72"/>
  <c r="O67" i="72"/>
  <c r="P64" i="15" l="1"/>
  <c r="Q62" i="15"/>
  <c r="I34" i="62"/>
  <c r="I27" i="62"/>
  <c r="I34" i="19"/>
  <c r="I34" i="71"/>
  <c r="I36" i="15"/>
  <c r="I34" i="10"/>
  <c r="I34" i="27"/>
  <c r="I34" i="40"/>
  <c r="Q64" i="15" l="1"/>
  <c r="M37" i="41"/>
  <c r="I65" i="5" l="1"/>
  <c r="I35" i="57" l="1"/>
  <c r="I34" i="57"/>
  <c r="M37" i="8" l="1"/>
  <c r="P35" i="8"/>
  <c r="I35" i="8"/>
  <c r="O53" i="7"/>
  <c r="I53" i="7"/>
  <c r="I34" i="7"/>
  <c r="I34" i="37"/>
  <c r="I34" i="6"/>
  <c r="M37" i="5" l="1"/>
  <c r="I35" i="5"/>
  <c r="I35" i="28"/>
  <c r="G82" i="71" l="1"/>
  <c r="M77" i="90" l="1"/>
  <c r="O41" i="15"/>
  <c r="O42" i="15"/>
  <c r="O43" i="15"/>
  <c r="O44" i="15"/>
  <c r="O45" i="15"/>
  <c r="O46" i="15"/>
  <c r="O47" i="15"/>
  <c r="O48" i="15"/>
  <c r="O49" i="15"/>
  <c r="O50" i="15"/>
  <c r="O51" i="15"/>
  <c r="O56" i="15"/>
  <c r="O57" i="15"/>
  <c r="O58" i="15"/>
  <c r="O59" i="15"/>
  <c r="O60" i="15"/>
  <c r="O61" i="15"/>
  <c r="H14" i="87" l="1"/>
  <c r="H22" i="87"/>
  <c r="H23" i="87"/>
  <c r="H24" i="87"/>
  <c r="H26" i="87"/>
  <c r="H27" i="87"/>
  <c r="H31" i="87"/>
  <c r="H139" i="87"/>
  <c r="H141" i="87"/>
  <c r="H149" i="87"/>
  <c r="H151" i="87"/>
  <c r="H153" i="87"/>
  <c r="H156" i="87"/>
  <c r="H162" i="87"/>
  <c r="H165" i="87"/>
  <c r="H166" i="87"/>
  <c r="H168" i="87"/>
  <c r="H172" i="87"/>
  <c r="H173" i="87"/>
  <c r="H174" i="87"/>
  <c r="H179" i="87"/>
  <c r="H182" i="87"/>
  <c r="H263" i="87"/>
  <c r="H267" i="87"/>
  <c r="H272" i="87"/>
  <c r="H273" i="87"/>
  <c r="H274" i="87"/>
  <c r="H279" i="87"/>
  <c r="H312" i="87"/>
  <c r="H313" i="87"/>
  <c r="H315" i="87"/>
  <c r="I57" i="78"/>
  <c r="I54" i="71"/>
  <c r="E103" i="90"/>
  <c r="I97" i="90"/>
  <c r="I99" i="90"/>
  <c r="I81" i="90"/>
  <c r="I83" i="90"/>
  <c r="I82" i="90"/>
  <c r="I84" i="90"/>
  <c r="I85" i="90"/>
  <c r="R64" i="90"/>
  <c r="S64" i="90" s="1"/>
  <c r="O64" i="90"/>
  <c r="Q64" i="90" s="1"/>
  <c r="I64" i="90"/>
  <c r="E77" i="90"/>
  <c r="O75" i="90"/>
  <c r="Q75" i="90" s="1"/>
  <c r="I75" i="90"/>
  <c r="I69" i="15"/>
  <c r="I84" i="8"/>
  <c r="P53" i="8"/>
  <c r="I53" i="8"/>
  <c r="O46" i="41" l="1"/>
  <c r="M60" i="62" l="1"/>
  <c r="M52" i="62"/>
  <c r="M37" i="62"/>
  <c r="O53" i="19"/>
  <c r="O52" i="19"/>
  <c r="O51" i="19"/>
  <c r="O40" i="19"/>
  <c r="O41" i="19"/>
  <c r="O42" i="19"/>
  <c r="O44" i="19"/>
  <c r="O45" i="19"/>
  <c r="O46" i="19"/>
  <c r="O47" i="19"/>
  <c r="O48" i="19"/>
  <c r="O49" i="19"/>
  <c r="O39" i="19"/>
  <c r="M72" i="19"/>
  <c r="O43" i="19"/>
  <c r="M37" i="19"/>
  <c r="O81" i="71"/>
  <c r="O80" i="71"/>
  <c r="O79" i="71"/>
  <c r="O78" i="71"/>
  <c r="O77" i="71"/>
  <c r="O75" i="71"/>
  <c r="O73" i="71"/>
  <c r="O71" i="71"/>
  <c r="O70" i="71"/>
  <c r="O69" i="71"/>
  <c r="O67" i="71"/>
  <c r="O66" i="71"/>
  <c r="O62" i="71"/>
  <c r="O61" i="71"/>
  <c r="O53" i="71"/>
  <c r="O52" i="71"/>
  <c r="O51" i="71"/>
  <c r="O40" i="71"/>
  <c r="O41" i="71"/>
  <c r="O42" i="71"/>
  <c r="O43" i="71"/>
  <c r="O44" i="71"/>
  <c r="O45" i="71"/>
  <c r="O46" i="71"/>
  <c r="O47" i="71"/>
  <c r="O48" i="71"/>
  <c r="O49" i="71"/>
  <c r="O39" i="71"/>
  <c r="M37" i="71"/>
  <c r="O76" i="90"/>
  <c r="O73" i="90"/>
  <c r="O72" i="90"/>
  <c r="O71" i="90"/>
  <c r="O70" i="90"/>
  <c r="O69" i="90"/>
  <c r="O68" i="90"/>
  <c r="O65" i="90"/>
  <c r="O63" i="90"/>
  <c r="O62" i="90"/>
  <c r="O61" i="90"/>
  <c r="O60" i="90"/>
  <c r="O59" i="90"/>
  <c r="O57" i="90"/>
  <c r="O56" i="90"/>
  <c r="O55" i="90"/>
  <c r="O54" i="90"/>
  <c r="O40" i="90"/>
  <c r="O41" i="90"/>
  <c r="O42" i="90"/>
  <c r="O43" i="90"/>
  <c r="O44" i="90"/>
  <c r="O45" i="90"/>
  <c r="O46" i="90"/>
  <c r="O47" i="90"/>
  <c r="O48" i="90"/>
  <c r="O49" i="90"/>
  <c r="O50" i="90"/>
  <c r="O51" i="90"/>
  <c r="O52" i="90"/>
  <c r="O39" i="90"/>
  <c r="M37" i="90"/>
  <c r="M74" i="15"/>
  <c r="M62" i="15"/>
  <c r="M39" i="15"/>
  <c r="O66" i="38"/>
  <c r="O65" i="38"/>
  <c r="O60" i="38"/>
  <c r="O58" i="38"/>
  <c r="O57" i="38"/>
  <c r="O55" i="38"/>
  <c r="O53" i="38"/>
  <c r="O52" i="38"/>
  <c r="O51" i="38"/>
  <c r="O50" i="38"/>
  <c r="O49" i="38"/>
  <c r="O48" i="38"/>
  <c r="O47" i="38"/>
  <c r="O46" i="38"/>
  <c r="O45" i="38"/>
  <c r="O44" i="38"/>
  <c r="O43" i="38"/>
  <c r="O42" i="38"/>
  <c r="M88" i="38"/>
  <c r="M40" i="38"/>
  <c r="O31" i="42"/>
  <c r="O30" i="42"/>
  <c r="O29" i="42"/>
  <c r="O28" i="42"/>
  <c r="O26" i="42"/>
  <c r="O25" i="42"/>
  <c r="O24" i="42"/>
  <c r="O23" i="42"/>
  <c r="O22" i="42"/>
  <c r="O21" i="42"/>
  <c r="O20" i="42"/>
  <c r="O19" i="42"/>
  <c r="O18" i="42"/>
  <c r="O17" i="42"/>
  <c r="O39" i="42"/>
  <c r="O29" i="26"/>
  <c r="O28" i="26"/>
  <c r="O27" i="26"/>
  <c r="O17" i="26"/>
  <c r="O18" i="26"/>
  <c r="O19" i="26"/>
  <c r="O20" i="26"/>
  <c r="O21" i="26"/>
  <c r="O22" i="26"/>
  <c r="O23" i="26"/>
  <c r="O24" i="26"/>
  <c r="O25" i="26"/>
  <c r="O16" i="26"/>
  <c r="M41" i="26"/>
  <c r="M30" i="26"/>
  <c r="O29" i="61"/>
  <c r="O28" i="61"/>
  <c r="O25" i="61"/>
  <c r="O18" i="61"/>
  <c r="O19" i="61"/>
  <c r="O20" i="61"/>
  <c r="O21" i="61"/>
  <c r="O22" i="61"/>
  <c r="O23" i="61"/>
  <c r="O24" i="61"/>
  <c r="O17" i="61"/>
  <c r="O16" i="11"/>
  <c r="O18" i="11" s="1"/>
  <c r="O53" i="10"/>
  <c r="O51" i="10"/>
  <c r="O49" i="10"/>
  <c r="O48" i="10"/>
  <c r="O47" i="10"/>
  <c r="O46" i="10"/>
  <c r="O45" i="10"/>
  <c r="O44" i="10"/>
  <c r="O43" i="10"/>
  <c r="O42" i="10"/>
  <c r="O41" i="10"/>
  <c r="O40" i="10"/>
  <c r="O39" i="10"/>
  <c r="O37" i="10"/>
  <c r="O69" i="57"/>
  <c r="O71" i="57" s="1"/>
  <c r="O61" i="57"/>
  <c r="O60" i="57"/>
  <c r="O53" i="57"/>
  <c r="O54" i="57"/>
  <c r="O55" i="57"/>
  <c r="O57" i="57"/>
  <c r="O58" i="57"/>
  <c r="O49" i="57"/>
  <c r="O50" i="57"/>
  <c r="O51" i="57"/>
  <c r="O52" i="57"/>
  <c r="O65" i="57"/>
  <c r="O40" i="57"/>
  <c r="O42" i="57"/>
  <c r="O43" i="57"/>
  <c r="O45" i="57"/>
  <c r="O46" i="57"/>
  <c r="O47" i="57"/>
  <c r="O48" i="57"/>
  <c r="O39" i="57"/>
  <c r="O37" i="57"/>
  <c r="O56" i="8"/>
  <c r="O55" i="8"/>
  <c r="O54" i="8"/>
  <c r="O52" i="8"/>
  <c r="O40" i="8"/>
  <c r="O41" i="8"/>
  <c r="O42" i="8"/>
  <c r="O43" i="8"/>
  <c r="O44" i="8"/>
  <c r="O45" i="8"/>
  <c r="O46" i="8"/>
  <c r="O47" i="8"/>
  <c r="O48" i="8"/>
  <c r="O49" i="8"/>
  <c r="O50" i="8"/>
  <c r="O39" i="8"/>
  <c r="M88" i="8"/>
  <c r="M57" i="8"/>
  <c r="O66" i="7"/>
  <c r="O65" i="7"/>
  <c r="O63" i="7"/>
  <c r="O61" i="7"/>
  <c r="O59" i="7"/>
  <c r="O57" i="7"/>
  <c r="O55" i="7"/>
  <c r="O51" i="7"/>
  <c r="O48" i="7"/>
  <c r="O40" i="7"/>
  <c r="O41" i="7"/>
  <c r="O42" i="7"/>
  <c r="O43" i="7"/>
  <c r="O44" i="7"/>
  <c r="O45" i="7"/>
  <c r="O46" i="7"/>
  <c r="O47" i="7"/>
  <c r="O39" i="7"/>
  <c r="O37" i="7"/>
  <c r="M54" i="19" l="1"/>
  <c r="M74" i="19" s="1"/>
  <c r="M90" i="8"/>
  <c r="O54" i="10"/>
  <c r="O32" i="42"/>
  <c r="O41" i="42" s="1"/>
  <c r="M90" i="38"/>
  <c r="R92" i="38" s="1"/>
  <c r="M43" i="26"/>
  <c r="M105" i="90"/>
  <c r="M98" i="71"/>
  <c r="M76" i="15"/>
  <c r="O30" i="61"/>
  <c r="M62" i="62"/>
  <c r="O67" i="7"/>
  <c r="O57" i="37" l="1"/>
  <c r="O56" i="37"/>
  <c r="O55" i="37"/>
  <c r="O54" i="37"/>
  <c r="O53" i="37"/>
  <c r="O40" i="37"/>
  <c r="O41" i="37"/>
  <c r="O42" i="37"/>
  <c r="O43" i="37"/>
  <c r="O44" i="37"/>
  <c r="O45" i="37"/>
  <c r="O46" i="37"/>
  <c r="O47" i="37"/>
  <c r="O48" i="37"/>
  <c r="O49" i="37"/>
  <c r="O39" i="37"/>
  <c r="M76" i="37"/>
  <c r="M58" i="37"/>
  <c r="M37" i="37"/>
  <c r="O52" i="6"/>
  <c r="O42" i="6"/>
  <c r="O43" i="6"/>
  <c r="O46" i="6"/>
  <c r="O47" i="6"/>
  <c r="O48" i="6"/>
  <c r="O49" i="6"/>
  <c r="O50" i="6"/>
  <c r="M66" i="6"/>
  <c r="O54" i="6"/>
  <c r="O45" i="6"/>
  <c r="O44" i="6"/>
  <c r="O41" i="6"/>
  <c r="O40" i="6"/>
  <c r="O39" i="6"/>
  <c r="M37" i="6"/>
  <c r="O54" i="5"/>
  <c r="O53" i="5"/>
  <c r="O52" i="5"/>
  <c r="O40" i="5"/>
  <c r="O41" i="5"/>
  <c r="O42" i="5"/>
  <c r="O43" i="5"/>
  <c r="O44" i="5"/>
  <c r="O45" i="5"/>
  <c r="O46" i="5"/>
  <c r="O47" i="5"/>
  <c r="O48" i="5"/>
  <c r="O49" i="5"/>
  <c r="O50" i="5"/>
  <c r="O39" i="5"/>
  <c r="M72" i="5"/>
  <c r="M55" i="5"/>
  <c r="O57" i="28"/>
  <c r="O56" i="28"/>
  <c r="O55" i="28"/>
  <c r="O54" i="28"/>
  <c r="O53" i="28"/>
  <c r="O52" i="28"/>
  <c r="O40" i="28"/>
  <c r="O42" i="28"/>
  <c r="O43" i="28"/>
  <c r="O44" i="28"/>
  <c r="O45" i="28"/>
  <c r="O46" i="28"/>
  <c r="O47" i="28"/>
  <c r="O48" i="28"/>
  <c r="O49" i="28"/>
  <c r="O50" i="28"/>
  <c r="O39" i="28"/>
  <c r="M72" i="28"/>
  <c r="M58" i="28"/>
  <c r="M37" i="28"/>
  <c r="O59" i="27"/>
  <c r="O58" i="27"/>
  <c r="O57" i="27"/>
  <c r="O56" i="27"/>
  <c r="O55" i="27"/>
  <c r="O54" i="27"/>
  <c r="O53" i="27"/>
  <c r="O52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7" i="27"/>
  <c r="O57" i="40"/>
  <c r="O56" i="40"/>
  <c r="O55" i="40"/>
  <c r="O54" i="40"/>
  <c r="O52" i="40"/>
  <c r="O51" i="40"/>
  <c r="O50" i="40"/>
  <c r="O49" i="40"/>
  <c r="O48" i="40"/>
  <c r="O47" i="40"/>
  <c r="O46" i="40"/>
  <c r="O45" i="40"/>
  <c r="O43" i="40"/>
  <c r="O42" i="40"/>
  <c r="O41" i="40"/>
  <c r="O40" i="40"/>
  <c r="M73" i="40"/>
  <c r="M37" i="40"/>
  <c r="O53" i="39"/>
  <c r="O52" i="39"/>
  <c r="O49" i="39"/>
  <c r="O47" i="39"/>
  <c r="O46" i="39"/>
  <c r="O45" i="39"/>
  <c r="O44" i="39"/>
  <c r="O42" i="39"/>
  <c r="O41" i="39"/>
  <c r="O40" i="39"/>
  <c r="O39" i="39"/>
  <c r="M79" i="37" l="1"/>
  <c r="O41" i="28"/>
  <c r="O44" i="40"/>
  <c r="O60" i="27"/>
  <c r="M74" i="5"/>
  <c r="Q72" i="5" s="1"/>
  <c r="M55" i="6"/>
  <c r="M68" i="6" s="1"/>
  <c r="M74" i="28"/>
  <c r="M75" i="40"/>
  <c r="O36" i="39" l="1"/>
  <c r="O27" i="43"/>
  <c r="O26" i="43"/>
  <c r="O25" i="43"/>
  <c r="O24" i="43"/>
  <c r="O17" i="43"/>
  <c r="O19" i="43"/>
  <c r="O16" i="43"/>
  <c r="O55" i="41"/>
  <c r="O53" i="41"/>
  <c r="O51" i="41"/>
  <c r="O41" i="41"/>
  <c r="O42" i="41"/>
  <c r="O43" i="41"/>
  <c r="O44" i="41"/>
  <c r="O45" i="41"/>
  <c r="O47" i="41"/>
  <c r="O48" i="41"/>
  <c r="O49" i="41"/>
  <c r="O40" i="41"/>
  <c r="O37" i="41"/>
  <c r="O85" i="72"/>
  <c r="O84" i="72"/>
  <c r="O83" i="72"/>
  <c r="O82" i="72"/>
  <c r="O80" i="72"/>
  <c r="O79" i="72"/>
  <c r="O78" i="72"/>
  <c r="O76" i="72"/>
  <c r="O74" i="72"/>
  <c r="O73" i="72"/>
  <c r="O40" i="72"/>
  <c r="O41" i="72"/>
  <c r="O43" i="72"/>
  <c r="O45" i="72"/>
  <c r="O46" i="72"/>
  <c r="O47" i="72"/>
  <c r="O48" i="72"/>
  <c r="O49" i="72"/>
  <c r="O50" i="72"/>
  <c r="O51" i="72"/>
  <c r="O52" i="72"/>
  <c r="O53" i="72"/>
  <c r="O54" i="72"/>
  <c r="O56" i="72"/>
  <c r="O57" i="72"/>
  <c r="O58" i="72"/>
  <c r="O59" i="72"/>
  <c r="O60" i="72"/>
  <c r="O61" i="72"/>
  <c r="O63" i="72"/>
  <c r="O64" i="72"/>
  <c r="O65" i="72"/>
  <c r="O66" i="72"/>
  <c r="O68" i="72"/>
  <c r="O69" i="72"/>
  <c r="O70" i="72"/>
  <c r="O71" i="72"/>
  <c r="O72" i="72"/>
  <c r="O39" i="72"/>
  <c r="O37" i="72"/>
  <c r="O56" i="41" l="1"/>
  <c r="O62" i="72" l="1"/>
  <c r="I38" i="26"/>
  <c r="I80" i="19" l="1"/>
  <c r="I68" i="62" s="1"/>
  <c r="O56" i="39" l="1"/>
  <c r="O43" i="39"/>
  <c r="O22" i="43"/>
  <c r="O57" i="39" l="1"/>
  <c r="I101" i="90" l="1"/>
  <c r="E198" i="90"/>
  <c r="E187" i="90"/>
  <c r="E170" i="90"/>
  <c r="O103" i="90"/>
  <c r="G103" i="90"/>
  <c r="I102" i="90"/>
  <c r="I92" i="90"/>
  <c r="I91" i="90"/>
  <c r="I90" i="90"/>
  <c r="I89" i="90"/>
  <c r="I87" i="90"/>
  <c r="I80" i="90"/>
  <c r="O77" i="90"/>
  <c r="K77" i="90"/>
  <c r="G77" i="90"/>
  <c r="Q76" i="90"/>
  <c r="I76" i="90"/>
  <c r="Q73" i="90"/>
  <c r="I73" i="90"/>
  <c r="Q72" i="90"/>
  <c r="I72" i="90"/>
  <c r="Q71" i="90"/>
  <c r="I71" i="90"/>
  <c r="Q70" i="90"/>
  <c r="I70" i="90"/>
  <c r="Q69" i="90"/>
  <c r="I69" i="90"/>
  <c r="Q68" i="90"/>
  <c r="I68" i="90"/>
  <c r="Q67" i="90"/>
  <c r="I67" i="90"/>
  <c r="R65" i="90"/>
  <c r="S65" i="90" s="1"/>
  <c r="Q65" i="90"/>
  <c r="I65" i="90"/>
  <c r="R63" i="90"/>
  <c r="S63" i="90" s="1"/>
  <c r="Q63" i="90"/>
  <c r="I63" i="90"/>
  <c r="R62" i="90"/>
  <c r="S62" i="90" s="1"/>
  <c r="Q62" i="90"/>
  <c r="I62" i="90"/>
  <c r="Q61" i="90"/>
  <c r="I61" i="90"/>
  <c r="R60" i="90"/>
  <c r="S60" i="90" s="1"/>
  <c r="Q60" i="90"/>
  <c r="I60" i="90"/>
  <c r="R59" i="90"/>
  <c r="S59" i="90" s="1"/>
  <c r="Q59" i="90"/>
  <c r="I59" i="90"/>
  <c r="R58" i="90"/>
  <c r="S58" i="90" s="1"/>
  <c r="Q58" i="90"/>
  <c r="R57" i="90"/>
  <c r="S57" i="90" s="1"/>
  <c r="Q57" i="90"/>
  <c r="I57" i="90"/>
  <c r="R56" i="90"/>
  <c r="S56" i="90" s="1"/>
  <c r="Q56" i="90"/>
  <c r="I56" i="90"/>
  <c r="R55" i="90"/>
  <c r="S55" i="90" s="1"/>
  <c r="Q55" i="90"/>
  <c r="I55" i="90"/>
  <c r="R54" i="90"/>
  <c r="S54" i="90" s="1"/>
  <c r="Q54" i="90"/>
  <c r="I54" i="90"/>
  <c r="R53" i="90"/>
  <c r="S53" i="90" s="1"/>
  <c r="Q53" i="90"/>
  <c r="I53" i="90"/>
  <c r="R52" i="90"/>
  <c r="S52" i="90" s="1"/>
  <c r="Q52" i="90"/>
  <c r="I52" i="90"/>
  <c r="R51" i="90"/>
  <c r="S51" i="90" s="1"/>
  <c r="Q51" i="90"/>
  <c r="I51" i="90"/>
  <c r="Q50" i="90"/>
  <c r="I50" i="90"/>
  <c r="R49" i="90"/>
  <c r="Q49" i="90"/>
  <c r="I49" i="90"/>
  <c r="R48" i="90"/>
  <c r="S48" i="90" s="1"/>
  <c r="Q48" i="90"/>
  <c r="I48" i="90"/>
  <c r="R47" i="90"/>
  <c r="S47" i="90" s="1"/>
  <c r="Q47" i="90"/>
  <c r="I47" i="90"/>
  <c r="Q46" i="90"/>
  <c r="I46" i="90"/>
  <c r="Q45" i="90"/>
  <c r="I45" i="90"/>
  <c r="R44" i="90"/>
  <c r="S44" i="90" s="1"/>
  <c r="Q44" i="90"/>
  <c r="I44" i="90"/>
  <c r="R43" i="90"/>
  <c r="S43" i="90" s="1"/>
  <c r="Q43" i="90"/>
  <c r="I43" i="90"/>
  <c r="R42" i="90"/>
  <c r="S42" i="90" s="1"/>
  <c r="Q42" i="90"/>
  <c r="I42" i="90"/>
  <c r="R41" i="90"/>
  <c r="S41" i="90" s="1"/>
  <c r="Q41" i="90"/>
  <c r="I41" i="90"/>
  <c r="R40" i="90"/>
  <c r="S40" i="90" s="1"/>
  <c r="Q40" i="90"/>
  <c r="I40" i="90"/>
  <c r="R39" i="90"/>
  <c r="S39" i="90" s="1"/>
  <c r="Q39" i="90"/>
  <c r="I39" i="90"/>
  <c r="O37" i="90"/>
  <c r="K37" i="90"/>
  <c r="G37" i="90"/>
  <c r="E37" i="90"/>
  <c r="I36" i="90"/>
  <c r="I35" i="90"/>
  <c r="I33" i="90"/>
  <c r="I31" i="90"/>
  <c r="I30" i="90"/>
  <c r="I29" i="90"/>
  <c r="I28" i="90"/>
  <c r="I27" i="90"/>
  <c r="I26" i="90"/>
  <c r="I24" i="90"/>
  <c r="I23" i="90"/>
  <c r="I22" i="90"/>
  <c r="I21" i="90"/>
  <c r="I20" i="90"/>
  <c r="I19" i="90"/>
  <c r="I17" i="90"/>
  <c r="I16" i="90"/>
  <c r="I103" i="90" l="1"/>
  <c r="Q77" i="90"/>
  <c r="E105" i="90"/>
  <c r="I77" i="90"/>
  <c r="G105" i="90"/>
  <c r="I37" i="90"/>
  <c r="K105" i="90"/>
  <c r="Q103" i="90"/>
  <c r="I105" i="90" l="1"/>
  <c r="Q105" i="90"/>
  <c r="I39" i="26" l="1"/>
  <c r="I37" i="61"/>
  <c r="I24" i="61"/>
  <c r="I24" i="11"/>
  <c r="K96" i="71" l="1"/>
  <c r="O96" i="71" s="1"/>
  <c r="G96" i="71"/>
  <c r="Q67" i="71"/>
  <c r="I67" i="71"/>
  <c r="I64" i="37"/>
  <c r="I74" i="27"/>
  <c r="I57" i="27"/>
  <c r="I58" i="27"/>
  <c r="I51" i="15" l="1"/>
  <c r="P51" i="15"/>
  <c r="I31" i="43" l="1"/>
  <c r="I33" i="43"/>
  <c r="O18" i="43"/>
  <c r="O28" i="43" s="1"/>
  <c r="K60" i="62"/>
  <c r="O60" i="62" s="1"/>
  <c r="G60" i="62"/>
  <c r="E60" i="62"/>
  <c r="I57" i="62"/>
  <c r="O66" i="6"/>
  <c r="G66" i="6"/>
  <c r="E66" i="6"/>
  <c r="I49" i="6"/>
  <c r="I71" i="78" l="1"/>
  <c r="K37" i="19"/>
  <c r="P65" i="10" l="1"/>
  <c r="I36" i="57"/>
  <c r="I33" i="57"/>
  <c r="I32" i="57"/>
  <c r="I31" i="57"/>
  <c r="I30" i="57"/>
  <c r="I29" i="57"/>
  <c r="I28" i="57"/>
  <c r="I27" i="57"/>
  <c r="I26" i="57"/>
  <c r="I24" i="57"/>
  <c r="I23" i="57"/>
  <c r="I22" i="57"/>
  <c r="I21" i="57"/>
  <c r="I20" i="57"/>
  <c r="I19" i="57"/>
  <c r="I17" i="57"/>
  <c r="I16" i="57"/>
  <c r="O44" i="57"/>
  <c r="O41" i="57"/>
  <c r="O66" i="57" l="1"/>
  <c r="I36" i="27"/>
  <c r="I35" i="27"/>
  <c r="I33" i="27"/>
  <c r="I32" i="27"/>
  <c r="I31" i="27"/>
  <c r="I30" i="27"/>
  <c r="I29" i="27"/>
  <c r="I28" i="27"/>
  <c r="I27" i="27"/>
  <c r="I26" i="27"/>
  <c r="I24" i="27"/>
  <c r="I23" i="27"/>
  <c r="I22" i="27"/>
  <c r="I21" i="27"/>
  <c r="I20" i="27"/>
  <c r="I19" i="27"/>
  <c r="I17" i="27"/>
  <c r="I16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9" i="27"/>
  <c r="O55" i="72" l="1"/>
  <c r="O44" i="72"/>
  <c r="O86" i="72" l="1"/>
  <c r="H20" i="88" l="1"/>
  <c r="L177" i="88"/>
  <c r="J177" i="88"/>
  <c r="F177" i="88"/>
  <c r="D177" i="88"/>
  <c r="H175" i="88"/>
  <c r="H163" i="88"/>
  <c r="H161" i="88"/>
  <c r="H159" i="88"/>
  <c r="H155" i="88"/>
  <c r="H151" i="88"/>
  <c r="H149" i="88"/>
  <c r="H148" i="88"/>
  <c r="H144" i="88"/>
  <c r="H142" i="88"/>
  <c r="H129" i="88"/>
  <c r="H127" i="88"/>
  <c r="H126" i="88"/>
  <c r="H125" i="88"/>
  <c r="H123" i="88"/>
  <c r="H122" i="88"/>
  <c r="H120" i="88"/>
  <c r="H119" i="88"/>
  <c r="H117" i="88"/>
  <c r="H116" i="88"/>
  <c r="H114" i="88"/>
  <c r="H113" i="88"/>
  <c r="H110" i="88"/>
  <c r="H109" i="88"/>
  <c r="H106" i="88"/>
  <c r="H105" i="88"/>
  <c r="H104" i="88"/>
  <c r="H103" i="88"/>
  <c r="H102" i="88"/>
  <c r="H99" i="88"/>
  <c r="H98" i="88"/>
  <c r="H97" i="88"/>
  <c r="H83" i="88"/>
  <c r="H44" i="88"/>
  <c r="H43" i="88"/>
  <c r="H65" i="88"/>
  <c r="H64" i="88"/>
  <c r="H34" i="88"/>
  <c r="H30" i="88"/>
  <c r="H29" i="88"/>
  <c r="H28" i="88"/>
  <c r="H25" i="88"/>
  <c r="H177" i="88" l="1"/>
  <c r="J316" i="87" l="1"/>
  <c r="D316" i="87"/>
  <c r="H316" i="87" l="1"/>
  <c r="M32" i="42" l="1"/>
  <c r="L19" i="85" l="1"/>
  <c r="J19" i="85"/>
  <c r="F19" i="85"/>
  <c r="D19" i="85"/>
  <c r="H16" i="85"/>
  <c r="H19" i="85" s="1"/>
  <c r="M37" i="72" l="1"/>
  <c r="M72" i="80" l="1"/>
  <c r="K72" i="80"/>
  <c r="G72" i="80"/>
  <c r="E72" i="80"/>
  <c r="M64" i="80"/>
  <c r="G64" i="80"/>
  <c r="E64" i="80"/>
  <c r="I63" i="80"/>
  <c r="I62" i="80"/>
  <c r="K64" i="80"/>
  <c r="I60" i="80"/>
  <c r="I59" i="80"/>
  <c r="I58" i="80"/>
  <c r="I57" i="80"/>
  <c r="I56" i="80"/>
  <c r="I55" i="80"/>
  <c r="I54" i="80"/>
  <c r="I53" i="80"/>
  <c r="I52" i="80"/>
  <c r="I51" i="80"/>
  <c r="I50" i="80"/>
  <c r="I49" i="80"/>
  <c r="I48" i="80"/>
  <c r="I47" i="80"/>
  <c r="I46" i="80"/>
  <c r="I45" i="80"/>
  <c r="I44" i="80"/>
  <c r="M41" i="80"/>
  <c r="K41" i="80"/>
  <c r="G41" i="80"/>
  <c r="E41" i="80"/>
  <c r="I40" i="80"/>
  <c r="I39" i="80"/>
  <c r="I38" i="80"/>
  <c r="I37" i="80"/>
  <c r="I35" i="80"/>
  <c r="I34" i="80"/>
  <c r="I33" i="80"/>
  <c r="I32" i="80"/>
  <c r="I31" i="80"/>
  <c r="I30" i="80"/>
  <c r="I29" i="80"/>
  <c r="I27" i="80"/>
  <c r="I26" i="80"/>
  <c r="I25" i="80"/>
  <c r="I24" i="80"/>
  <c r="I23" i="80"/>
  <c r="I22" i="80"/>
  <c r="I21" i="80"/>
  <c r="I20" i="80"/>
  <c r="I19" i="80"/>
  <c r="I17" i="80"/>
  <c r="I16" i="80"/>
  <c r="M75" i="79"/>
  <c r="K75" i="79"/>
  <c r="G75" i="79"/>
  <c r="E75" i="79"/>
  <c r="M66" i="79"/>
  <c r="K66" i="79"/>
  <c r="G66" i="79"/>
  <c r="E66" i="79"/>
  <c r="I65" i="79"/>
  <c r="I64" i="79"/>
  <c r="I63" i="79"/>
  <c r="I62" i="79"/>
  <c r="I61" i="79"/>
  <c r="I60" i="79"/>
  <c r="I59" i="79"/>
  <c r="I58" i="79"/>
  <c r="I57" i="79"/>
  <c r="I56" i="79"/>
  <c r="I55" i="79"/>
  <c r="I54" i="79"/>
  <c r="I53" i="79"/>
  <c r="I52" i="79"/>
  <c r="I51" i="79"/>
  <c r="I50" i="79"/>
  <c r="I49" i="79"/>
  <c r="I48" i="79"/>
  <c r="I47" i="79"/>
  <c r="I46" i="79"/>
  <c r="I45" i="79"/>
  <c r="I44" i="79"/>
  <c r="M41" i="79"/>
  <c r="K41" i="79"/>
  <c r="G41" i="79"/>
  <c r="E41" i="79"/>
  <c r="I40" i="79"/>
  <c r="I39" i="79"/>
  <c r="I38" i="79"/>
  <c r="I37" i="79"/>
  <c r="I35" i="79"/>
  <c r="I34" i="79"/>
  <c r="I33" i="79"/>
  <c r="I32" i="79"/>
  <c r="I31" i="79"/>
  <c r="I30" i="79"/>
  <c r="I29" i="79"/>
  <c r="I27" i="79"/>
  <c r="I26" i="79"/>
  <c r="I25" i="79"/>
  <c r="I24" i="79"/>
  <c r="I23" i="79"/>
  <c r="I22" i="79"/>
  <c r="I21" i="79"/>
  <c r="I20" i="79"/>
  <c r="I19" i="79"/>
  <c r="I17" i="79"/>
  <c r="I16" i="79"/>
  <c r="M72" i="78"/>
  <c r="K72" i="78"/>
  <c r="G72" i="78"/>
  <c r="E72" i="78"/>
  <c r="M68" i="78"/>
  <c r="G68" i="78"/>
  <c r="E68" i="78"/>
  <c r="I67" i="78"/>
  <c r="I65" i="78"/>
  <c r="I64" i="78"/>
  <c r="I63" i="78"/>
  <c r="I61" i="78"/>
  <c r="I60" i="78"/>
  <c r="I59" i="78"/>
  <c r="I58" i="78"/>
  <c r="I56" i="78"/>
  <c r="I55" i="78"/>
  <c r="I54" i="78"/>
  <c r="I53" i="78"/>
  <c r="I52" i="78"/>
  <c r="I51" i="78"/>
  <c r="I50" i="78"/>
  <c r="K68" i="78"/>
  <c r="I48" i="78"/>
  <c r="I47" i="78"/>
  <c r="I46" i="78"/>
  <c r="I45" i="78"/>
  <c r="I44" i="78"/>
  <c r="M41" i="78"/>
  <c r="K41" i="78"/>
  <c r="G41" i="78"/>
  <c r="E41" i="78"/>
  <c r="I40" i="78"/>
  <c r="I39" i="78"/>
  <c r="I38" i="78"/>
  <c r="I37" i="78"/>
  <c r="I35" i="78"/>
  <c r="I34" i="78"/>
  <c r="I33" i="78"/>
  <c r="I32" i="78"/>
  <c r="I31" i="78"/>
  <c r="I30" i="78"/>
  <c r="I29" i="78"/>
  <c r="I27" i="78"/>
  <c r="I26" i="78"/>
  <c r="I25" i="78"/>
  <c r="I24" i="78"/>
  <c r="I23" i="78"/>
  <c r="I22" i="78"/>
  <c r="I21" i="78"/>
  <c r="I20" i="78"/>
  <c r="I19" i="78"/>
  <c r="I17" i="78"/>
  <c r="I16" i="78"/>
  <c r="K74" i="78" l="1"/>
  <c r="G74" i="78"/>
  <c r="E74" i="78"/>
  <c r="M74" i="78"/>
  <c r="E74" i="80"/>
  <c r="G74" i="80"/>
  <c r="K74" i="80"/>
  <c r="M74" i="80"/>
  <c r="G78" i="79"/>
  <c r="K78" i="79"/>
  <c r="M78" i="79"/>
  <c r="N79" i="79" s="1"/>
  <c r="E78" i="79"/>
  <c r="I41" i="79"/>
  <c r="I75" i="79"/>
  <c r="I41" i="78"/>
  <c r="I72" i="78"/>
  <c r="I66" i="79"/>
  <c r="I41" i="80"/>
  <c r="I72" i="80"/>
  <c r="I61" i="80"/>
  <c r="I64" i="80" s="1"/>
  <c r="I49" i="78"/>
  <c r="I68" i="78" s="1"/>
  <c r="I73" i="37"/>
  <c r="I70" i="37"/>
  <c r="I71" i="37"/>
  <c r="I68" i="37"/>
  <c r="I62" i="37"/>
  <c r="I61" i="37"/>
  <c r="I71" i="28"/>
  <c r="I69" i="28"/>
  <c r="I62" i="28"/>
  <c r="I76" i="27"/>
  <c r="I73" i="27"/>
  <c r="I66" i="27"/>
  <c r="I64" i="27"/>
  <c r="I67" i="27"/>
  <c r="I75" i="39"/>
  <c r="I74" i="78" l="1"/>
  <c r="I78" i="79"/>
  <c r="I74" i="80"/>
  <c r="O57" i="8" l="1"/>
  <c r="P61" i="57" l="1"/>
  <c r="I61" i="57"/>
  <c r="Q61" i="57"/>
  <c r="R61" i="57" s="1"/>
  <c r="I33" i="62"/>
  <c r="O37" i="6" l="1"/>
  <c r="I56" i="71" l="1"/>
  <c r="O54" i="19" l="1"/>
  <c r="G54" i="19"/>
  <c r="G37" i="71"/>
  <c r="I66" i="37"/>
  <c r="G72" i="28"/>
  <c r="G37" i="72"/>
  <c r="P45" i="39" l="1"/>
  <c r="Q45" i="39"/>
  <c r="R45" i="39" s="1"/>
  <c r="I45" i="39"/>
  <c r="I60" i="15" l="1"/>
  <c r="I29" i="42"/>
  <c r="I20" i="17"/>
  <c r="I27" i="17"/>
  <c r="E67" i="7"/>
  <c r="M67" i="7"/>
  <c r="I66" i="7"/>
  <c r="I56" i="40"/>
  <c r="I56" i="39"/>
  <c r="I53" i="39"/>
  <c r="I65" i="38"/>
  <c r="I20" i="26"/>
  <c r="E30" i="61"/>
  <c r="I77" i="57"/>
  <c r="G66" i="57"/>
  <c r="E66" i="57"/>
  <c r="I53" i="57"/>
  <c r="E37" i="8"/>
  <c r="I49" i="7"/>
  <c r="K72" i="5"/>
  <c r="O72" i="5" s="1"/>
  <c r="G72" i="5"/>
  <c r="E72" i="5"/>
  <c r="E37" i="5"/>
  <c r="O58" i="28"/>
  <c r="G58" i="28"/>
  <c r="E58" i="28"/>
  <c r="E79" i="39"/>
  <c r="E86" i="72"/>
  <c r="G86" i="72"/>
  <c r="K54" i="19" l="1"/>
  <c r="I78" i="71"/>
  <c r="E82" i="71"/>
  <c r="I59" i="15"/>
  <c r="K58" i="28"/>
  <c r="K66" i="57" l="1"/>
  <c r="K82" i="71"/>
  <c r="E37" i="72"/>
  <c r="K37" i="72"/>
  <c r="G57" i="39"/>
  <c r="K57" i="39"/>
  <c r="M57" i="39"/>
  <c r="R68" i="39" s="1"/>
  <c r="K86" i="72" l="1"/>
  <c r="Q78" i="71" l="1"/>
  <c r="K30" i="61" l="1"/>
  <c r="M30" i="61"/>
  <c r="I28" i="61"/>
  <c r="M107" i="72" l="1"/>
  <c r="G107" i="72"/>
  <c r="E107" i="72"/>
  <c r="I37" i="72" l="1"/>
  <c r="K107" i="72"/>
  <c r="O107" i="72" s="1"/>
  <c r="I107" i="72"/>
  <c r="G109" i="72"/>
  <c r="E109" i="72"/>
  <c r="I86" i="72"/>
  <c r="O67" i="38"/>
  <c r="K109" i="72" l="1"/>
  <c r="I109" i="72"/>
  <c r="O39" i="15"/>
  <c r="O40" i="38"/>
  <c r="P66" i="7" l="1"/>
  <c r="G67" i="7"/>
  <c r="O62" i="15" l="1"/>
  <c r="M37" i="27" l="1"/>
  <c r="O37" i="71" l="1"/>
  <c r="I43" i="62" l="1"/>
  <c r="I42" i="62"/>
  <c r="G60" i="27" l="1"/>
  <c r="E60" i="27"/>
  <c r="M60" i="27"/>
  <c r="P43" i="27"/>
  <c r="P41" i="57" l="1"/>
  <c r="P42" i="57"/>
  <c r="P43" i="57"/>
  <c r="P45" i="57"/>
  <c r="P47" i="57"/>
  <c r="P48" i="57"/>
  <c r="P49" i="57"/>
  <c r="P50" i="57"/>
  <c r="P51" i="57"/>
  <c r="P52" i="57"/>
  <c r="P65" i="57"/>
  <c r="P54" i="57"/>
  <c r="P57" i="57"/>
  <c r="P58" i="57"/>
  <c r="P59" i="57"/>
  <c r="P60" i="57"/>
  <c r="P39" i="57"/>
  <c r="P65" i="7" l="1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0" i="7"/>
  <c r="P48" i="7"/>
  <c r="P47" i="7"/>
  <c r="P45" i="7"/>
  <c r="P44" i="7"/>
  <c r="P39" i="7"/>
  <c r="P54" i="37"/>
  <c r="P53" i="37"/>
  <c r="P44" i="37"/>
  <c r="P45" i="37"/>
  <c r="P46" i="37"/>
  <c r="P47" i="37"/>
  <c r="Q81" i="71" l="1"/>
  <c r="I81" i="71"/>
  <c r="P52" i="19" l="1"/>
  <c r="I52" i="19"/>
  <c r="I55" i="7"/>
  <c r="I62" i="71"/>
  <c r="I52" i="71" l="1"/>
  <c r="I84" i="71"/>
  <c r="Q80" i="71"/>
  <c r="I80" i="71"/>
  <c r="Q79" i="71"/>
  <c r="I79" i="71"/>
  <c r="Q77" i="71"/>
  <c r="I77" i="71"/>
  <c r="Q76" i="71"/>
  <c r="Q75" i="71"/>
  <c r="I75" i="71"/>
  <c r="Q74" i="71"/>
  <c r="Q73" i="71"/>
  <c r="I73" i="71"/>
  <c r="Q72" i="71"/>
  <c r="Q71" i="71"/>
  <c r="I71" i="71"/>
  <c r="Q70" i="71"/>
  <c r="I70" i="71"/>
  <c r="Q69" i="71"/>
  <c r="I69" i="71"/>
  <c r="Q68" i="71"/>
  <c r="Q66" i="71"/>
  <c r="I66" i="71"/>
  <c r="Q65" i="71"/>
  <c r="Q64" i="71"/>
  <c r="Q63" i="71"/>
  <c r="Q62" i="71"/>
  <c r="Q61" i="71"/>
  <c r="I61" i="71"/>
  <c r="Q60" i="71"/>
  <c r="Q59" i="71"/>
  <c r="I53" i="71"/>
  <c r="I51" i="71"/>
  <c r="I49" i="71"/>
  <c r="I48" i="71"/>
  <c r="I47" i="71"/>
  <c r="I46" i="71"/>
  <c r="I45" i="71"/>
  <c r="I44" i="71"/>
  <c r="I43" i="71"/>
  <c r="I42" i="71"/>
  <c r="I41" i="71"/>
  <c r="I40" i="71"/>
  <c r="I39" i="71"/>
  <c r="K37" i="71"/>
  <c r="E37" i="71"/>
  <c r="I36" i="71"/>
  <c r="I35" i="71"/>
  <c r="I33" i="71"/>
  <c r="I31" i="71"/>
  <c r="I30" i="71"/>
  <c r="I29" i="71"/>
  <c r="I28" i="71"/>
  <c r="I27" i="71"/>
  <c r="I26" i="71"/>
  <c r="I24" i="71"/>
  <c r="I23" i="71"/>
  <c r="I22" i="71"/>
  <c r="I21" i="71"/>
  <c r="I20" i="71"/>
  <c r="I19" i="71"/>
  <c r="I17" i="71"/>
  <c r="I16" i="71"/>
  <c r="M65" i="10"/>
  <c r="P49" i="10"/>
  <c r="I34" i="17"/>
  <c r="I19" i="17"/>
  <c r="I22" i="17"/>
  <c r="I96" i="71" l="1"/>
  <c r="E98" i="71"/>
  <c r="G98" i="71"/>
  <c r="I82" i="71"/>
  <c r="Q96" i="71"/>
  <c r="I37" i="71"/>
  <c r="K98" i="71"/>
  <c r="I98" i="71" l="1"/>
  <c r="Q49" i="71"/>
  <c r="Q48" i="71"/>
  <c r="Q47" i="71"/>
  <c r="Q46" i="71"/>
  <c r="Q44" i="71"/>
  <c r="Q43" i="71"/>
  <c r="Q42" i="71" l="1"/>
  <c r="Q41" i="71"/>
  <c r="Q40" i="71"/>
  <c r="Q39" i="71" l="1"/>
  <c r="P30" i="42"/>
  <c r="Q30" i="42" s="1"/>
  <c r="I30" i="42"/>
  <c r="Q45" i="71" l="1"/>
  <c r="I20" i="61" l="1"/>
  <c r="P43" i="62" l="1"/>
  <c r="P49" i="62"/>
  <c r="I49" i="62"/>
  <c r="P50" i="62"/>
  <c r="I50" i="62"/>
  <c r="M71" i="57"/>
  <c r="K71" i="57"/>
  <c r="G71" i="57"/>
  <c r="E71" i="57"/>
  <c r="I69" i="57"/>
  <c r="I71" i="57" s="1"/>
  <c r="Q55" i="8"/>
  <c r="R55" i="8" s="1"/>
  <c r="P55" i="8"/>
  <c r="I55" i="8"/>
  <c r="Q56" i="37"/>
  <c r="R56" i="37" s="1"/>
  <c r="P56" i="37"/>
  <c r="I56" i="37"/>
  <c r="I56" i="28"/>
  <c r="P50" i="5" l="1"/>
  <c r="Q50" i="5" s="1"/>
  <c r="I50" i="5"/>
  <c r="I53" i="5"/>
  <c r="M79" i="39" l="1"/>
  <c r="P43" i="39"/>
  <c r="I43" i="39"/>
  <c r="P43" i="19" l="1"/>
  <c r="P43" i="8" l="1"/>
  <c r="K76" i="37"/>
  <c r="O76" i="37" s="1"/>
  <c r="G76" i="37"/>
  <c r="E76" i="37"/>
  <c r="O58" i="37" l="1"/>
  <c r="P55" i="37"/>
  <c r="I55" i="37"/>
  <c r="Q55" i="37"/>
  <c r="R55" i="37" s="1"/>
  <c r="P45" i="15" l="1"/>
  <c r="P48" i="28"/>
  <c r="P44" i="28"/>
  <c r="K72" i="19" l="1"/>
  <c r="O72" i="19" s="1"/>
  <c r="I53" i="19"/>
  <c r="I46" i="19"/>
  <c r="I43" i="19"/>
  <c r="I49" i="15"/>
  <c r="I48" i="15"/>
  <c r="I45" i="15"/>
  <c r="I58" i="15"/>
  <c r="I66" i="38"/>
  <c r="I60" i="38"/>
  <c r="I58" i="38"/>
  <c r="I28" i="26"/>
  <c r="I26" i="17"/>
  <c r="I35" i="61"/>
  <c r="I21" i="61"/>
  <c r="I26" i="61"/>
  <c r="G30" i="61"/>
  <c r="I29" i="61"/>
  <c r="I53" i="10"/>
  <c r="I49" i="10"/>
  <c r="I43" i="10"/>
  <c r="K81" i="57"/>
  <c r="I80" i="57"/>
  <c r="I60" i="57"/>
  <c r="P55" i="57"/>
  <c r="E57" i="8"/>
  <c r="I56" i="8"/>
  <c r="I43" i="8"/>
  <c r="K57" i="8"/>
  <c r="I65" i="7"/>
  <c r="I63" i="7"/>
  <c r="I61" i="7"/>
  <c r="I59" i="7"/>
  <c r="I57" i="7"/>
  <c r="P51" i="7"/>
  <c r="P42" i="7"/>
  <c r="P41" i="7"/>
  <c r="E58" i="37"/>
  <c r="I57" i="37"/>
  <c r="P52" i="37"/>
  <c r="I44" i="6"/>
  <c r="I48" i="6"/>
  <c r="I47" i="6"/>
  <c r="I54" i="6"/>
  <c r="P40" i="7" l="1"/>
  <c r="K67" i="7"/>
  <c r="K62" i="15"/>
  <c r="I46" i="7"/>
  <c r="P46" i="7"/>
  <c r="I46" i="57"/>
  <c r="P46" i="57"/>
  <c r="I44" i="57"/>
  <c r="P44" i="57"/>
  <c r="K58" i="37"/>
  <c r="O59" i="37" s="1"/>
  <c r="P43" i="37"/>
  <c r="I43" i="7"/>
  <c r="P43" i="7"/>
  <c r="P40" i="57"/>
  <c r="I43" i="37"/>
  <c r="I67" i="5"/>
  <c r="I54" i="5"/>
  <c r="I46" i="5"/>
  <c r="I43" i="5"/>
  <c r="I44" i="28"/>
  <c r="I48" i="28"/>
  <c r="O60" i="37" l="1"/>
  <c r="O61" i="37" s="1"/>
  <c r="P67" i="7"/>
  <c r="P66" i="57"/>
  <c r="K60" i="27"/>
  <c r="I44" i="40"/>
  <c r="I57" i="40"/>
  <c r="I67" i="40"/>
  <c r="I54" i="40"/>
  <c r="I70" i="39" l="1"/>
  <c r="I34" i="43"/>
  <c r="P57" i="39" l="1"/>
  <c r="E29" i="17" l="1"/>
  <c r="E72" i="28" l="1"/>
  <c r="E56" i="41"/>
  <c r="K30" i="26" l="1"/>
  <c r="G30" i="26" l="1"/>
  <c r="O30" i="26"/>
  <c r="I57" i="28" l="1"/>
  <c r="I55" i="28"/>
  <c r="I54" i="28"/>
  <c r="I42" i="28"/>
  <c r="P53" i="28" l="1"/>
  <c r="Q53" i="28"/>
  <c r="I53" i="28"/>
  <c r="E55" i="5" l="1"/>
  <c r="G55" i="5"/>
  <c r="I52" i="7"/>
  <c r="I64" i="7"/>
  <c r="O37" i="37" l="1"/>
  <c r="Q26" i="61" l="1"/>
  <c r="Q49" i="10" l="1"/>
  <c r="P43" i="10"/>
  <c r="P57" i="40" l="1"/>
  <c r="Q57" i="40"/>
  <c r="G58" i="40"/>
  <c r="E58" i="40"/>
  <c r="P44" i="40"/>
  <c r="Q44" i="40"/>
  <c r="P30" i="61" l="1"/>
  <c r="I28" i="42" l="1"/>
  <c r="H88" i="39" l="1"/>
  <c r="I82" i="40" s="1"/>
  <c r="I86" i="27" s="1"/>
  <c r="I81" i="28" s="1"/>
  <c r="I82" i="5" s="1"/>
  <c r="I73" i="6" s="1"/>
  <c r="I86" i="37" s="1"/>
  <c r="I87" i="7" s="1"/>
  <c r="I96" i="8" s="1"/>
  <c r="I88" i="57" s="1"/>
  <c r="I72" i="10" s="1"/>
  <c r="I34" i="11" s="1"/>
  <c r="I46" i="61" s="1"/>
  <c r="I48" i="26" s="1"/>
  <c r="I44" i="17" s="1"/>
  <c r="I48" i="42" l="1"/>
  <c r="I95" i="38" s="1"/>
  <c r="I82" i="15" s="1"/>
  <c r="P36" i="8"/>
  <c r="P34" i="8"/>
  <c r="P31" i="8"/>
  <c r="P30" i="8"/>
  <c r="P29" i="8"/>
  <c r="P28" i="8"/>
  <c r="P26" i="8"/>
  <c r="P24" i="8"/>
  <c r="P23" i="8"/>
  <c r="P22" i="8"/>
  <c r="P21" i="8"/>
  <c r="P20" i="8"/>
  <c r="P19" i="8"/>
  <c r="P17" i="8"/>
  <c r="P16" i="8"/>
  <c r="I111" i="90" l="1"/>
  <c r="P46" i="19"/>
  <c r="P53" i="19"/>
  <c r="G67" i="38"/>
  <c r="E67" i="38"/>
  <c r="I51" i="38"/>
  <c r="Q58" i="38"/>
  <c r="Q60" i="38"/>
  <c r="Q46" i="7"/>
  <c r="Q43" i="7"/>
  <c r="Q65" i="7"/>
  <c r="Q48" i="28"/>
  <c r="Q44" i="28"/>
  <c r="Q43" i="37"/>
  <c r="Q46" i="5"/>
  <c r="Q43" i="5"/>
  <c r="P49" i="15" l="1"/>
  <c r="Q46" i="57"/>
  <c r="Q44" i="57"/>
  <c r="Q47" i="27"/>
  <c r="Q43" i="27"/>
  <c r="P31" i="42" l="1"/>
  <c r="Q31" i="42" s="1"/>
  <c r="P27" i="42"/>
  <c r="Q27" i="42" s="1"/>
  <c r="P26" i="42"/>
  <c r="Q26" i="42" s="1"/>
  <c r="P25" i="42"/>
  <c r="Q25" i="42" s="1"/>
  <c r="P24" i="42"/>
  <c r="Q24" i="42" s="1"/>
  <c r="P23" i="42"/>
  <c r="Q23" i="42" s="1"/>
  <c r="P22" i="42"/>
  <c r="Q22" i="42" s="1"/>
  <c r="P21" i="42"/>
  <c r="Q21" i="42" s="1"/>
  <c r="P20" i="42"/>
  <c r="Q20" i="42" s="1"/>
  <c r="P19" i="42"/>
  <c r="Q19" i="42" s="1"/>
  <c r="P18" i="42"/>
  <c r="Q18" i="42" s="1"/>
  <c r="P17" i="42"/>
  <c r="Q17" i="42" s="1"/>
  <c r="Q50" i="19" l="1"/>
  <c r="R50" i="19" s="1"/>
  <c r="Q47" i="19"/>
  <c r="R47" i="19" s="1"/>
  <c r="Q45" i="19"/>
  <c r="R45" i="19" s="1"/>
  <c r="Q44" i="19"/>
  <c r="R44" i="19" s="1"/>
  <c r="Q41" i="19"/>
  <c r="R41" i="19" s="1"/>
  <c r="Q40" i="19"/>
  <c r="R40" i="19" s="1"/>
  <c r="Q39" i="19"/>
  <c r="R39" i="19" s="1"/>
  <c r="Q56" i="38"/>
  <c r="R56" i="38" s="1"/>
  <c r="Q55" i="38"/>
  <c r="R55" i="38" s="1"/>
  <c r="Q53" i="38"/>
  <c r="R53" i="38" s="1"/>
  <c r="Q52" i="38"/>
  <c r="R52" i="38" s="1"/>
  <c r="Q50" i="38"/>
  <c r="R50" i="38" s="1"/>
  <c r="Q48" i="38"/>
  <c r="R48" i="38" s="1"/>
  <c r="Q47" i="38"/>
  <c r="R47" i="38" s="1"/>
  <c r="Q46" i="38"/>
  <c r="R46" i="38" s="1"/>
  <c r="R45" i="38"/>
  <c r="Q44" i="38"/>
  <c r="R44" i="38" s="1"/>
  <c r="Q43" i="38"/>
  <c r="R43" i="38" s="1"/>
  <c r="Q42" i="38"/>
  <c r="R42" i="38" s="1"/>
  <c r="P29" i="26"/>
  <c r="Q29" i="26" s="1"/>
  <c r="P27" i="26"/>
  <c r="Q27" i="26" s="1"/>
  <c r="P26" i="26"/>
  <c r="Q26" i="26" s="1"/>
  <c r="P25" i="26"/>
  <c r="Q25" i="26" s="1"/>
  <c r="P24" i="26"/>
  <c r="Q24" i="26" s="1"/>
  <c r="P23" i="26"/>
  <c r="Q23" i="26" s="1"/>
  <c r="P22" i="26"/>
  <c r="Q22" i="26" s="1"/>
  <c r="P21" i="26"/>
  <c r="Q21" i="26" s="1"/>
  <c r="P19" i="26"/>
  <c r="Q19" i="26" s="1"/>
  <c r="P18" i="26"/>
  <c r="Q18" i="26" s="1"/>
  <c r="P17" i="26"/>
  <c r="Q17" i="26" s="1"/>
  <c r="P16" i="26"/>
  <c r="Q16" i="26" s="1"/>
  <c r="Q60" i="57"/>
  <c r="R60" i="57" s="1"/>
  <c r="Q59" i="57"/>
  <c r="R59" i="57" s="1"/>
  <c r="Q54" i="57"/>
  <c r="R54" i="57" s="1"/>
  <c r="Q65" i="57"/>
  <c r="R65" i="57" s="1"/>
  <c r="Q52" i="57"/>
  <c r="R52" i="57" s="1"/>
  <c r="Q51" i="57"/>
  <c r="R51" i="57" s="1"/>
  <c r="Q50" i="57"/>
  <c r="R50" i="57" s="1"/>
  <c r="Q49" i="57"/>
  <c r="R49" i="57" s="1"/>
  <c r="Q48" i="57"/>
  <c r="R48" i="57" s="1"/>
  <c r="Q47" i="57"/>
  <c r="R47" i="57" s="1"/>
  <c r="Q45" i="57"/>
  <c r="R45" i="57" s="1"/>
  <c r="Q43" i="57"/>
  <c r="R43" i="57" s="1"/>
  <c r="Q42" i="57"/>
  <c r="R42" i="57" s="1"/>
  <c r="Q41" i="57"/>
  <c r="R41" i="57" s="1"/>
  <c r="Q40" i="57"/>
  <c r="R40" i="57" s="1"/>
  <c r="Q39" i="57"/>
  <c r="R39" i="57" s="1"/>
  <c r="Q56" i="8"/>
  <c r="R56" i="8" s="1"/>
  <c r="Q51" i="8"/>
  <c r="R51" i="8" s="1"/>
  <c r="Q50" i="8"/>
  <c r="R50" i="8" s="1"/>
  <c r="Q49" i="8"/>
  <c r="R49" i="8" s="1"/>
  <c r="Q48" i="8"/>
  <c r="R48" i="8" s="1"/>
  <c r="Q47" i="8"/>
  <c r="R47" i="8" s="1"/>
  <c r="Q46" i="8"/>
  <c r="R46" i="8" s="1"/>
  <c r="Q45" i="8"/>
  <c r="R45" i="8" s="1"/>
  <c r="Q44" i="8"/>
  <c r="R44" i="8" s="1"/>
  <c r="Q42" i="8"/>
  <c r="R42" i="8" s="1"/>
  <c r="Q41" i="8"/>
  <c r="R41" i="8" s="1"/>
  <c r="Q40" i="8"/>
  <c r="R40" i="8" s="1"/>
  <c r="Q39" i="8"/>
  <c r="R39" i="8" s="1"/>
  <c r="Q57" i="37"/>
  <c r="R57" i="37" s="1"/>
  <c r="Q51" i="37"/>
  <c r="R51" i="37" s="1"/>
  <c r="Q50" i="37"/>
  <c r="R50" i="37" s="1"/>
  <c r="Q49" i="37"/>
  <c r="R49" i="37" s="1"/>
  <c r="Q48" i="37"/>
  <c r="R48" i="37" s="1"/>
  <c r="Q47" i="37"/>
  <c r="R47" i="37" s="1"/>
  <c r="Q46" i="37"/>
  <c r="R46" i="37" s="1"/>
  <c r="Q45" i="37"/>
  <c r="R45" i="37" s="1"/>
  <c r="Q44" i="37"/>
  <c r="R44" i="37" s="1"/>
  <c r="Q42" i="37"/>
  <c r="R42" i="37" s="1"/>
  <c r="Q41" i="37"/>
  <c r="R41" i="37" s="1"/>
  <c r="Q40" i="37"/>
  <c r="R40" i="37" s="1"/>
  <c r="Q39" i="37"/>
  <c r="R39" i="37" s="1"/>
  <c r="P51" i="5"/>
  <c r="Q51" i="5" s="1"/>
  <c r="P49" i="5"/>
  <c r="Q49" i="5" s="1"/>
  <c r="P48" i="5"/>
  <c r="Q48" i="5" s="1"/>
  <c r="P47" i="5"/>
  <c r="Q47" i="5" s="1"/>
  <c r="P45" i="5"/>
  <c r="Q45" i="5" s="1"/>
  <c r="P44" i="5"/>
  <c r="Q44" i="5" s="1"/>
  <c r="P42" i="5"/>
  <c r="Q42" i="5" s="1"/>
  <c r="P41" i="5"/>
  <c r="Q41" i="5" s="1"/>
  <c r="P40" i="5"/>
  <c r="Q40" i="5" s="1"/>
  <c r="P39" i="5"/>
  <c r="Q39" i="5" s="1"/>
  <c r="Q51" i="28"/>
  <c r="Q50" i="28"/>
  <c r="Q49" i="28"/>
  <c r="Q47" i="28"/>
  <c r="Q46" i="28"/>
  <c r="Q45" i="28"/>
  <c r="Q43" i="28"/>
  <c r="Q41" i="28"/>
  <c r="Q40" i="28"/>
  <c r="Q39" i="28"/>
  <c r="Q56" i="27"/>
  <c r="Q55" i="27"/>
  <c r="Q54" i="27"/>
  <c r="Q53" i="27"/>
  <c r="Q51" i="27"/>
  <c r="Q50" i="27"/>
  <c r="Q49" i="27"/>
  <c r="Q48" i="27"/>
  <c r="Q46" i="27"/>
  <c r="Q45" i="27"/>
  <c r="Q44" i="27"/>
  <c r="Q42" i="27"/>
  <c r="Q40" i="27"/>
  <c r="Q39" i="27"/>
  <c r="Q52" i="39"/>
  <c r="R52" i="39" s="1"/>
  <c r="Q50" i="39"/>
  <c r="R50" i="39" s="1"/>
  <c r="Q49" i="39"/>
  <c r="R49" i="39" s="1"/>
  <c r="Q47" i="39"/>
  <c r="R47" i="39" s="1"/>
  <c r="Q46" i="39"/>
  <c r="R46" i="39" s="1"/>
  <c r="Q44" i="39"/>
  <c r="R44" i="39" s="1"/>
  <c r="Q42" i="39"/>
  <c r="R42" i="39" s="1"/>
  <c r="Q41" i="39"/>
  <c r="R41" i="39" s="1"/>
  <c r="Q40" i="39"/>
  <c r="R40" i="39" s="1"/>
  <c r="Q39" i="39"/>
  <c r="R39" i="39" s="1"/>
  <c r="Q55" i="40"/>
  <c r="Q53" i="40"/>
  <c r="Q52" i="40"/>
  <c r="Q51" i="40"/>
  <c r="Q50" i="40"/>
  <c r="Q49" i="40"/>
  <c r="Q48" i="40"/>
  <c r="Q47" i="40"/>
  <c r="Q46" i="40"/>
  <c r="Q45" i="40"/>
  <c r="Q43" i="40"/>
  <c r="Q42" i="40"/>
  <c r="Q41" i="40"/>
  <c r="Q40" i="40"/>
  <c r="G57" i="8" l="1"/>
  <c r="G58" i="37"/>
  <c r="K36" i="39" l="1"/>
  <c r="P56" i="8" l="1"/>
  <c r="P51" i="8"/>
  <c r="P50" i="8"/>
  <c r="P49" i="8"/>
  <c r="P48" i="8"/>
  <c r="P47" i="8"/>
  <c r="P46" i="8"/>
  <c r="P45" i="8"/>
  <c r="P44" i="8"/>
  <c r="P42" i="8"/>
  <c r="P41" i="8"/>
  <c r="P40" i="8"/>
  <c r="P39" i="8"/>
  <c r="P51" i="62"/>
  <c r="P48" i="62"/>
  <c r="P47" i="62"/>
  <c r="P46" i="62"/>
  <c r="P45" i="62"/>
  <c r="P44" i="62"/>
  <c r="P42" i="62"/>
  <c r="P41" i="62"/>
  <c r="P40" i="62"/>
  <c r="P39" i="62"/>
  <c r="P50" i="19"/>
  <c r="P47" i="19"/>
  <c r="P45" i="19"/>
  <c r="P44" i="19"/>
  <c r="P41" i="19"/>
  <c r="P40" i="19"/>
  <c r="P39" i="19"/>
  <c r="P53" i="10"/>
  <c r="P52" i="10"/>
  <c r="P50" i="10"/>
  <c r="P48" i="10"/>
  <c r="P47" i="10"/>
  <c r="P46" i="10"/>
  <c r="P45" i="10"/>
  <c r="P44" i="10"/>
  <c r="P42" i="10"/>
  <c r="P41" i="10"/>
  <c r="P40" i="10"/>
  <c r="P39" i="10"/>
  <c r="P55" i="40"/>
  <c r="P53" i="40"/>
  <c r="P52" i="40"/>
  <c r="P51" i="40"/>
  <c r="P50" i="40"/>
  <c r="P49" i="40"/>
  <c r="P48" i="40"/>
  <c r="P47" i="40"/>
  <c r="P46" i="40"/>
  <c r="P45" i="40"/>
  <c r="P43" i="40"/>
  <c r="P42" i="40"/>
  <c r="P41" i="40"/>
  <c r="P40" i="40"/>
  <c r="P52" i="39"/>
  <c r="P50" i="39"/>
  <c r="P49" i="39"/>
  <c r="P47" i="39"/>
  <c r="P46" i="39"/>
  <c r="P44" i="39"/>
  <c r="P42" i="39"/>
  <c r="P41" i="39"/>
  <c r="P40" i="39"/>
  <c r="P39" i="39"/>
  <c r="P51" i="28"/>
  <c r="P50" i="28"/>
  <c r="P49" i="28"/>
  <c r="P47" i="28"/>
  <c r="P46" i="28"/>
  <c r="P45" i="28"/>
  <c r="P43" i="28"/>
  <c r="P40" i="28"/>
  <c r="P39" i="28"/>
  <c r="P58" i="15"/>
  <c r="P57" i="15"/>
  <c r="P56" i="15"/>
  <c r="P55" i="15"/>
  <c r="P50" i="15"/>
  <c r="P48" i="15"/>
  <c r="P47" i="15"/>
  <c r="P46" i="15"/>
  <c r="P44" i="15"/>
  <c r="P43" i="15"/>
  <c r="P42" i="15"/>
  <c r="P41" i="15"/>
  <c r="P56" i="27"/>
  <c r="P55" i="27"/>
  <c r="P54" i="27"/>
  <c r="P53" i="27"/>
  <c r="P51" i="27"/>
  <c r="P50" i="27"/>
  <c r="P49" i="27"/>
  <c r="P48" i="27"/>
  <c r="P46" i="27"/>
  <c r="P45" i="27"/>
  <c r="P44" i="27"/>
  <c r="P42" i="27"/>
  <c r="P40" i="27"/>
  <c r="P39" i="27"/>
  <c r="P57" i="37"/>
  <c r="P51" i="37"/>
  <c r="P50" i="37"/>
  <c r="P49" i="37"/>
  <c r="P48" i="37"/>
  <c r="P42" i="37"/>
  <c r="P41" i="37"/>
  <c r="P40" i="37"/>
  <c r="P39" i="37"/>
  <c r="P58" i="37" l="1"/>
  <c r="P52" i="62"/>
  <c r="O55" i="5" l="1"/>
  <c r="P41" i="28" l="1"/>
  <c r="Q52" i="27"/>
  <c r="O58" i="40"/>
  <c r="M29" i="17" l="1"/>
  <c r="M54" i="10"/>
  <c r="M81" i="57"/>
  <c r="M36" i="43"/>
  <c r="M28" i="43"/>
  <c r="M56" i="41"/>
  <c r="O81" i="57" l="1"/>
  <c r="P41" i="27"/>
  <c r="Q41" i="27"/>
  <c r="M38" i="43"/>
  <c r="I79" i="57" l="1"/>
  <c r="I63" i="10"/>
  <c r="O55" i="6" l="1"/>
  <c r="E32" i="42"/>
  <c r="E30" i="26"/>
  <c r="E54" i="10"/>
  <c r="I78" i="57"/>
  <c r="I75" i="57"/>
  <c r="I74" i="57"/>
  <c r="E78" i="27"/>
  <c r="I75" i="27"/>
  <c r="E28" i="43"/>
  <c r="K52" i="62" l="1"/>
  <c r="K37" i="62"/>
  <c r="O37" i="19"/>
  <c r="Q51" i="19"/>
  <c r="R51" i="19" s="1"/>
  <c r="I70" i="15"/>
  <c r="I61" i="15"/>
  <c r="I57" i="15"/>
  <c r="I56" i="15"/>
  <c r="E62" i="15"/>
  <c r="G62" i="15"/>
  <c r="K39" i="15"/>
  <c r="Q57" i="38"/>
  <c r="R57" i="38" s="1"/>
  <c r="K40" i="38"/>
  <c r="G29" i="17"/>
  <c r="I28" i="17"/>
  <c r="I25" i="17"/>
  <c r="K29" i="17"/>
  <c r="G32" i="42"/>
  <c r="I31" i="42"/>
  <c r="K32" i="42"/>
  <c r="I29" i="26"/>
  <c r="I27" i="26"/>
  <c r="M37" i="10"/>
  <c r="G54" i="10"/>
  <c r="I64" i="10"/>
  <c r="I62" i="10"/>
  <c r="I61" i="10"/>
  <c r="I60" i="10"/>
  <c r="I59" i="10"/>
  <c r="I58" i="10"/>
  <c r="I56" i="10"/>
  <c r="I52" i="10"/>
  <c r="K37" i="10"/>
  <c r="M37" i="57"/>
  <c r="M83" i="57" s="1"/>
  <c r="I76" i="57"/>
  <c r="I73" i="57"/>
  <c r="P81" i="57"/>
  <c r="K37" i="57"/>
  <c r="K83" i="57" s="1"/>
  <c r="O37" i="8"/>
  <c r="I86" i="8"/>
  <c r="I80" i="8"/>
  <c r="K88" i="8"/>
  <c r="K37" i="8"/>
  <c r="I74" i="7"/>
  <c r="K78" i="7"/>
  <c r="I51" i="7"/>
  <c r="I72" i="37"/>
  <c r="I63" i="6"/>
  <c r="I66" i="6" s="1"/>
  <c r="E55" i="6"/>
  <c r="G55" i="6"/>
  <c r="I66" i="5"/>
  <c r="I64" i="5"/>
  <c r="P72" i="5"/>
  <c r="K55" i="5"/>
  <c r="P55" i="5" s="1"/>
  <c r="K72" i="28"/>
  <c r="O72" i="28" s="1"/>
  <c r="I68" i="27"/>
  <c r="K90" i="8" l="1"/>
  <c r="O88" i="8"/>
  <c r="P88" i="8" s="1"/>
  <c r="I81" i="57"/>
  <c r="I72" i="19"/>
  <c r="P42" i="19"/>
  <c r="Q42" i="19"/>
  <c r="R42" i="19" s="1"/>
  <c r="P48" i="19"/>
  <c r="Q48" i="19"/>
  <c r="R48" i="19" s="1"/>
  <c r="Q58" i="57"/>
  <c r="R58" i="57" s="1"/>
  <c r="I52" i="5"/>
  <c r="P52" i="5"/>
  <c r="Q52" i="5" s="1"/>
  <c r="Q55" i="57"/>
  <c r="R55" i="57" s="1"/>
  <c r="P49" i="19"/>
  <c r="Q49" i="19"/>
  <c r="R49" i="19" s="1"/>
  <c r="Q57" i="57"/>
  <c r="R57" i="57" s="1"/>
  <c r="K67" i="38"/>
  <c r="Q49" i="38"/>
  <c r="R49" i="38" s="1"/>
  <c r="Q53" i="37"/>
  <c r="R53" i="37" s="1"/>
  <c r="Q54" i="37"/>
  <c r="R54" i="37" s="1"/>
  <c r="Q52" i="8"/>
  <c r="R52" i="8" s="1"/>
  <c r="Q54" i="8"/>
  <c r="R54" i="8" s="1"/>
  <c r="P52" i="28"/>
  <c r="Q52" i="28"/>
  <c r="P58" i="28"/>
  <c r="I57" i="57"/>
  <c r="I53" i="37"/>
  <c r="I58" i="57"/>
  <c r="I54" i="37"/>
  <c r="P52" i="8"/>
  <c r="I54" i="8"/>
  <c r="P54" i="8"/>
  <c r="I57" i="38"/>
  <c r="K54" i="10"/>
  <c r="P54" i="10"/>
  <c r="I51" i="19"/>
  <c r="P51" i="19"/>
  <c r="K55" i="6"/>
  <c r="I52" i="6"/>
  <c r="I52" i="28"/>
  <c r="I52" i="37"/>
  <c r="I52" i="8"/>
  <c r="I51" i="10"/>
  <c r="I55" i="57"/>
  <c r="O37" i="40"/>
  <c r="I69" i="40"/>
  <c r="I65" i="40"/>
  <c r="I64" i="40"/>
  <c r="I55" i="40"/>
  <c r="E73" i="40"/>
  <c r="G73" i="40"/>
  <c r="I72" i="39"/>
  <c r="I49" i="39"/>
  <c r="I52" i="39"/>
  <c r="K79" i="39"/>
  <c r="O79" i="39" s="1"/>
  <c r="I73" i="40" l="1"/>
  <c r="O73" i="40"/>
  <c r="P79" i="39"/>
  <c r="P81" i="39" s="1"/>
  <c r="P54" i="19"/>
  <c r="P83" i="57"/>
  <c r="Q54" i="40"/>
  <c r="K58" i="40"/>
  <c r="P58" i="40" s="1"/>
  <c r="P57" i="8"/>
  <c r="P90" i="8" s="1"/>
  <c r="P54" i="40"/>
  <c r="P52" i="27"/>
  <c r="P60" i="27" s="1"/>
  <c r="K28" i="43"/>
  <c r="P28" i="43" s="1"/>
  <c r="G28" i="43"/>
  <c r="I27" i="43"/>
  <c r="I26" i="43"/>
  <c r="I25" i="43"/>
  <c r="I24" i="43"/>
  <c r="P73" i="40" l="1"/>
  <c r="P75" i="40" s="1"/>
  <c r="P71" i="57"/>
  <c r="K56" i="41"/>
  <c r="P32" i="42" l="1"/>
  <c r="E175" i="7" l="1"/>
  <c r="E166" i="7"/>
  <c r="I16" i="62" l="1"/>
  <c r="I17" i="62"/>
  <c r="I19" i="62"/>
  <c r="I20" i="62"/>
  <c r="I21" i="62"/>
  <c r="I22" i="62"/>
  <c r="I23" i="62"/>
  <c r="I24" i="62"/>
  <c r="I26" i="62"/>
  <c r="I28" i="62"/>
  <c r="I29" i="62"/>
  <c r="I30" i="62"/>
  <c r="I31" i="62"/>
  <c r="I35" i="62"/>
  <c r="I36" i="62"/>
  <c r="E37" i="62"/>
  <c r="G37" i="62"/>
  <c r="I39" i="62"/>
  <c r="I40" i="62"/>
  <c r="I41" i="62"/>
  <c r="I44" i="62"/>
  <c r="I45" i="62"/>
  <c r="I46" i="62"/>
  <c r="I47" i="62"/>
  <c r="I48" i="62"/>
  <c r="I51" i="62"/>
  <c r="E52" i="62"/>
  <c r="G52" i="62"/>
  <c r="I58" i="62"/>
  <c r="I60" i="62" s="1"/>
  <c r="K62" i="62"/>
  <c r="I16" i="19"/>
  <c r="I17" i="19"/>
  <c r="I19" i="19"/>
  <c r="I20" i="19"/>
  <c r="I21" i="19"/>
  <c r="I22" i="19"/>
  <c r="I23" i="19"/>
  <c r="I24" i="19"/>
  <c r="I26" i="19"/>
  <c r="I27" i="19"/>
  <c r="I28" i="19"/>
  <c r="I29" i="19"/>
  <c r="I30" i="19"/>
  <c r="I31" i="19"/>
  <c r="I33" i="19"/>
  <c r="I35" i="19"/>
  <c r="I36" i="19"/>
  <c r="E37" i="19"/>
  <c r="E74" i="19" s="1"/>
  <c r="G37" i="19"/>
  <c r="I39" i="19"/>
  <c r="I40" i="19"/>
  <c r="I41" i="19"/>
  <c r="I42" i="19"/>
  <c r="I44" i="19"/>
  <c r="I45" i="19"/>
  <c r="I47" i="19"/>
  <c r="I48" i="19"/>
  <c r="I49" i="19"/>
  <c r="I50" i="19"/>
  <c r="G72" i="19"/>
  <c r="E156" i="19"/>
  <c r="I16" i="15"/>
  <c r="I17" i="15"/>
  <c r="I19" i="15"/>
  <c r="I20" i="15"/>
  <c r="I21" i="15"/>
  <c r="I22" i="15"/>
  <c r="I23" i="15"/>
  <c r="I24" i="15"/>
  <c r="I25" i="15"/>
  <c r="I26" i="15"/>
  <c r="I28" i="15"/>
  <c r="I29" i="15"/>
  <c r="I30" i="15"/>
  <c r="I31" i="15"/>
  <c r="I32" i="15"/>
  <c r="I33" i="15"/>
  <c r="I35" i="15"/>
  <c r="I37" i="15"/>
  <c r="I38" i="15"/>
  <c r="E39" i="15"/>
  <c r="G39" i="15"/>
  <c r="I41" i="15"/>
  <c r="I42" i="15"/>
  <c r="I43" i="15"/>
  <c r="I44" i="15"/>
  <c r="I46" i="15"/>
  <c r="I47" i="15"/>
  <c r="I50" i="15"/>
  <c r="E74" i="15"/>
  <c r="G74" i="15"/>
  <c r="K74" i="15"/>
  <c r="E170" i="15"/>
  <c r="I16" i="38"/>
  <c r="I17" i="38"/>
  <c r="I19" i="38"/>
  <c r="I20" i="38"/>
  <c r="I21" i="38"/>
  <c r="I22" i="38"/>
  <c r="I23" i="38"/>
  <c r="I24" i="38"/>
  <c r="I25" i="38"/>
  <c r="I26" i="38"/>
  <c r="I27" i="38"/>
  <c r="I29" i="38"/>
  <c r="I30" i="38"/>
  <c r="I31" i="38"/>
  <c r="I32" i="38"/>
  <c r="I34" i="38"/>
  <c r="I36" i="38"/>
  <c r="I38" i="38"/>
  <c r="I39" i="38"/>
  <c r="E40" i="38"/>
  <c r="G40" i="38"/>
  <c r="I42" i="38"/>
  <c r="I43" i="38"/>
  <c r="I44" i="38"/>
  <c r="I45" i="38"/>
  <c r="I46" i="38"/>
  <c r="I47" i="38"/>
  <c r="I48" i="38"/>
  <c r="I49" i="38"/>
  <c r="I50" i="38"/>
  <c r="I52" i="38"/>
  <c r="I53" i="38"/>
  <c r="I55" i="38"/>
  <c r="E88" i="38"/>
  <c r="G88" i="38"/>
  <c r="E104" i="38"/>
  <c r="E156" i="38"/>
  <c r="E186" i="38"/>
  <c r="E195" i="38"/>
  <c r="E206" i="38"/>
  <c r="I16" i="17"/>
  <c r="I17" i="17"/>
  <c r="I18" i="17"/>
  <c r="I21" i="17"/>
  <c r="I23" i="17"/>
  <c r="I32" i="17"/>
  <c r="E36" i="17"/>
  <c r="E38" i="17" s="1"/>
  <c r="G36" i="17"/>
  <c r="G38" i="17" s="1"/>
  <c r="K36" i="17"/>
  <c r="K38" i="17" s="1"/>
  <c r="M36" i="17"/>
  <c r="M38" i="17" s="1"/>
  <c r="E79" i="17"/>
  <c r="E89" i="17"/>
  <c r="E113" i="17"/>
  <c r="E129" i="17"/>
  <c r="E139" i="17"/>
  <c r="I17" i="42"/>
  <c r="I18" i="42"/>
  <c r="I19" i="42"/>
  <c r="I20" i="42"/>
  <c r="I21" i="42"/>
  <c r="I22" i="42"/>
  <c r="I23" i="42"/>
  <c r="I24" i="42"/>
  <c r="I25" i="42"/>
  <c r="I26" i="42"/>
  <c r="I27" i="42"/>
  <c r="I35" i="42"/>
  <c r="I39" i="42" s="1"/>
  <c r="E39" i="42"/>
  <c r="E41" i="42" s="1"/>
  <c r="G39" i="42"/>
  <c r="G41" i="42" s="1"/>
  <c r="K39" i="42"/>
  <c r="K41" i="42" s="1"/>
  <c r="M39" i="42"/>
  <c r="M41" i="42" s="1"/>
  <c r="I16" i="26"/>
  <c r="I17" i="26"/>
  <c r="I18" i="26"/>
  <c r="I19" i="26"/>
  <c r="I21" i="26"/>
  <c r="I22" i="26"/>
  <c r="I23" i="26"/>
  <c r="I24" i="26"/>
  <c r="I25" i="26"/>
  <c r="I33" i="26"/>
  <c r="I40" i="26"/>
  <c r="E41" i="26"/>
  <c r="G41" i="26"/>
  <c r="K41" i="26"/>
  <c r="O41" i="26" s="1"/>
  <c r="E58" i="26"/>
  <c r="E66" i="26"/>
  <c r="E101" i="26"/>
  <c r="I17" i="61"/>
  <c r="I18" i="61"/>
  <c r="I19" i="61"/>
  <c r="I22" i="61"/>
  <c r="I23" i="61"/>
  <c r="I25" i="61"/>
  <c r="I33" i="61"/>
  <c r="I36" i="61"/>
  <c r="K40" i="61"/>
  <c r="O40" i="61"/>
  <c r="I16" i="11"/>
  <c r="I18" i="11" s="1"/>
  <c r="E18" i="11"/>
  <c r="G18" i="11"/>
  <c r="K18" i="11"/>
  <c r="M18" i="11"/>
  <c r="I21" i="11"/>
  <c r="I25" i="11" s="1"/>
  <c r="I17" i="10"/>
  <c r="I19" i="10"/>
  <c r="I20" i="10"/>
  <c r="I21" i="10"/>
  <c r="I22" i="10"/>
  <c r="I23" i="10"/>
  <c r="I24" i="10"/>
  <c r="I26" i="10"/>
  <c r="I27" i="10"/>
  <c r="I28" i="10"/>
  <c r="I29" i="10"/>
  <c r="I30" i="10"/>
  <c r="I31" i="10"/>
  <c r="I33" i="10"/>
  <c r="I35" i="10"/>
  <c r="I36" i="10"/>
  <c r="E37" i="10"/>
  <c r="G37" i="10"/>
  <c r="I39" i="10"/>
  <c r="I40" i="10"/>
  <c r="I41" i="10"/>
  <c r="I42" i="10"/>
  <c r="I44" i="10"/>
  <c r="I45" i="10"/>
  <c r="I46" i="10"/>
  <c r="I48" i="10"/>
  <c r="I50" i="10"/>
  <c r="I65" i="10"/>
  <c r="E65" i="10"/>
  <c r="G65" i="10"/>
  <c r="K65" i="10"/>
  <c r="O65" i="10" s="1"/>
  <c r="E131" i="10"/>
  <c r="E145" i="10"/>
  <c r="E37" i="57"/>
  <c r="G37" i="57"/>
  <c r="I39" i="57"/>
  <c r="I40" i="57"/>
  <c r="I41" i="57"/>
  <c r="I42" i="57"/>
  <c r="I43" i="57"/>
  <c r="I45" i="57"/>
  <c r="I47" i="57"/>
  <c r="I48" i="57"/>
  <c r="I49" i="57"/>
  <c r="I50" i="57"/>
  <c r="I51" i="57"/>
  <c r="I52" i="57"/>
  <c r="I54" i="57"/>
  <c r="E81" i="57"/>
  <c r="E143" i="57"/>
  <c r="E147" i="57" s="1"/>
  <c r="E162" i="57"/>
  <c r="E179" i="57"/>
  <c r="E193" i="57"/>
  <c r="I16" i="8"/>
  <c r="I17" i="8"/>
  <c r="I19" i="8"/>
  <c r="I20" i="8"/>
  <c r="I21" i="8"/>
  <c r="I22" i="8"/>
  <c r="I23" i="8"/>
  <c r="I24" i="8"/>
  <c r="I26" i="8"/>
  <c r="I27" i="8"/>
  <c r="I28" i="8"/>
  <c r="I29" i="8"/>
  <c r="I30" i="8"/>
  <c r="I31" i="8"/>
  <c r="I33" i="8"/>
  <c r="I34" i="8"/>
  <c r="I36" i="8"/>
  <c r="G37" i="8"/>
  <c r="I39" i="8"/>
  <c r="I40" i="8"/>
  <c r="I41" i="8"/>
  <c r="I42" i="8"/>
  <c r="I44" i="8"/>
  <c r="I45" i="8"/>
  <c r="I46" i="8"/>
  <c r="I47" i="8"/>
  <c r="I48" i="8"/>
  <c r="I49" i="8"/>
  <c r="I50" i="8"/>
  <c r="I51" i="8"/>
  <c r="E88" i="8"/>
  <c r="E90" i="8" s="1"/>
  <c r="G88" i="8"/>
  <c r="E149" i="8"/>
  <c r="E160" i="8"/>
  <c r="I16" i="7"/>
  <c r="I17" i="7"/>
  <c r="I19" i="7"/>
  <c r="I20" i="7"/>
  <c r="I21" i="7"/>
  <c r="I22" i="7"/>
  <c r="I23" i="7"/>
  <c r="I24" i="7"/>
  <c r="I26" i="7"/>
  <c r="I27" i="7"/>
  <c r="I28" i="7"/>
  <c r="I29" i="7"/>
  <c r="I30" i="7"/>
  <c r="I31" i="7"/>
  <c r="I33" i="7"/>
  <c r="I35" i="7"/>
  <c r="I36" i="7"/>
  <c r="E37" i="7"/>
  <c r="G37" i="7"/>
  <c r="K37" i="7"/>
  <c r="K80" i="7" s="1"/>
  <c r="M37" i="7"/>
  <c r="I39" i="7"/>
  <c r="I40" i="7"/>
  <c r="I41" i="7"/>
  <c r="I42" i="7"/>
  <c r="I44" i="7"/>
  <c r="I45" i="7"/>
  <c r="I47" i="7"/>
  <c r="I48" i="7"/>
  <c r="I70" i="7"/>
  <c r="I75" i="7"/>
  <c r="E78" i="7"/>
  <c r="G78" i="7"/>
  <c r="M78" i="7"/>
  <c r="O78" i="7" s="1"/>
  <c r="E144" i="7"/>
  <c r="E157" i="7"/>
  <c r="I16" i="37"/>
  <c r="I17" i="37"/>
  <c r="I19" i="37"/>
  <c r="I20" i="37"/>
  <c r="I21" i="37"/>
  <c r="I22" i="37"/>
  <c r="I23" i="37"/>
  <c r="I24" i="37"/>
  <c r="I26" i="37"/>
  <c r="I27" i="37"/>
  <c r="I28" i="37"/>
  <c r="I29" i="37"/>
  <c r="I30" i="37"/>
  <c r="I31" i="37"/>
  <c r="I33" i="37"/>
  <c r="I35" i="37"/>
  <c r="I36" i="37"/>
  <c r="E37" i="37"/>
  <c r="G37" i="37"/>
  <c r="K37" i="37"/>
  <c r="I39" i="37"/>
  <c r="I40" i="37"/>
  <c r="I42" i="37"/>
  <c r="I44" i="37"/>
  <c r="I45" i="37"/>
  <c r="I46" i="37"/>
  <c r="I47" i="37"/>
  <c r="I48" i="37"/>
  <c r="I49" i="37"/>
  <c r="I50" i="37"/>
  <c r="P76" i="37"/>
  <c r="E140" i="37"/>
  <c r="E154" i="37"/>
  <c r="I16" i="6"/>
  <c r="I17" i="6"/>
  <c r="I19" i="6"/>
  <c r="I20" i="6"/>
  <c r="I21" i="6"/>
  <c r="I22" i="6"/>
  <c r="I23" i="6"/>
  <c r="I24" i="6"/>
  <c r="I26" i="6"/>
  <c r="I27" i="6"/>
  <c r="I28" i="6"/>
  <c r="I29" i="6"/>
  <c r="I30" i="6"/>
  <c r="I31" i="6"/>
  <c r="I33" i="6"/>
  <c r="I35" i="6"/>
  <c r="I36" i="6"/>
  <c r="E37" i="6"/>
  <c r="G37" i="6"/>
  <c r="K37" i="6"/>
  <c r="I39" i="6"/>
  <c r="I40" i="6"/>
  <c r="I41" i="6"/>
  <c r="I42" i="6"/>
  <c r="I43" i="6"/>
  <c r="I45" i="6"/>
  <c r="I46" i="6"/>
  <c r="I50" i="6"/>
  <c r="E131" i="6"/>
  <c r="E140" i="6"/>
  <c r="E143" i="6" s="1"/>
  <c r="E154" i="6"/>
  <c r="E157" i="6" s="1"/>
  <c r="E170" i="6"/>
  <c r="E181" i="6"/>
  <c r="I16" i="5"/>
  <c r="I17" i="5"/>
  <c r="I19" i="5"/>
  <c r="I20" i="5"/>
  <c r="I21" i="5"/>
  <c r="I22" i="5"/>
  <c r="I23" i="5"/>
  <c r="I24" i="5"/>
  <c r="I26" i="5"/>
  <c r="I27" i="5"/>
  <c r="I28" i="5"/>
  <c r="I29" i="5"/>
  <c r="I30" i="5"/>
  <c r="I31" i="5"/>
  <c r="I33" i="5"/>
  <c r="I34" i="5"/>
  <c r="I36" i="5"/>
  <c r="G37" i="5"/>
  <c r="K37" i="5"/>
  <c r="O37" i="5"/>
  <c r="I39" i="5"/>
  <c r="I40" i="5"/>
  <c r="I41" i="5"/>
  <c r="I42" i="5"/>
  <c r="I44" i="5"/>
  <c r="I45" i="5"/>
  <c r="I47" i="5"/>
  <c r="I48" i="5"/>
  <c r="I49" i="5"/>
  <c r="E146" i="5"/>
  <c r="E182" i="5"/>
  <c r="E206" i="5"/>
  <c r="E215" i="5"/>
  <c r="I16" i="28"/>
  <c r="I17" i="28"/>
  <c r="I19" i="28"/>
  <c r="I20" i="28"/>
  <c r="I21" i="28"/>
  <c r="I22" i="28"/>
  <c r="I23" i="28"/>
  <c r="I24" i="28"/>
  <c r="I26" i="28"/>
  <c r="I27" i="28"/>
  <c r="I28" i="28"/>
  <c r="I29" i="28"/>
  <c r="I30" i="28"/>
  <c r="I31" i="28"/>
  <c r="I33" i="28"/>
  <c r="I34" i="28"/>
  <c r="I36" i="28"/>
  <c r="E37" i="28"/>
  <c r="E74" i="28" s="1"/>
  <c r="G37" i="28"/>
  <c r="O37" i="28"/>
  <c r="I39" i="28"/>
  <c r="I40" i="28"/>
  <c r="I41" i="28"/>
  <c r="I43" i="28"/>
  <c r="I45" i="28"/>
  <c r="I46" i="28"/>
  <c r="I47" i="28"/>
  <c r="I49" i="28"/>
  <c r="I50" i="28"/>
  <c r="P72" i="28"/>
  <c r="P74" i="28" s="1"/>
  <c r="E150" i="28"/>
  <c r="E186" i="28"/>
  <c r="E215" i="28"/>
  <c r="E224" i="28"/>
  <c r="K37" i="27"/>
  <c r="I62" i="27"/>
  <c r="G78" i="27"/>
  <c r="K78" i="27"/>
  <c r="M78" i="27"/>
  <c r="E143" i="27"/>
  <c r="E155" i="27"/>
  <c r="I16" i="40"/>
  <c r="I17" i="40"/>
  <c r="I19" i="40"/>
  <c r="I20" i="40"/>
  <c r="I21" i="40"/>
  <c r="I22" i="40"/>
  <c r="I23" i="40"/>
  <c r="I24" i="40"/>
  <c r="I26" i="40"/>
  <c r="I27" i="40"/>
  <c r="I28" i="40"/>
  <c r="I29" i="40"/>
  <c r="I30" i="40"/>
  <c r="I31" i="40"/>
  <c r="I33" i="40"/>
  <c r="I35" i="40"/>
  <c r="I36" i="40"/>
  <c r="E37" i="40"/>
  <c r="E75" i="40" s="1"/>
  <c r="G37" i="40"/>
  <c r="K37" i="40"/>
  <c r="I40" i="40"/>
  <c r="I41" i="40"/>
  <c r="I42" i="40"/>
  <c r="I43" i="40"/>
  <c r="I45" i="40"/>
  <c r="I46" i="40"/>
  <c r="I47" i="40"/>
  <c r="I48" i="40"/>
  <c r="I49" i="40"/>
  <c r="I50" i="40"/>
  <c r="I52" i="40"/>
  <c r="I53" i="40"/>
  <c r="E161" i="40"/>
  <c r="E175" i="40"/>
  <c r="E188" i="40"/>
  <c r="E199" i="40"/>
  <c r="E36" i="39"/>
  <c r="G36" i="39"/>
  <c r="M36" i="39"/>
  <c r="I39" i="39"/>
  <c r="I40" i="39"/>
  <c r="I42" i="39"/>
  <c r="I44" i="39"/>
  <c r="I46" i="39"/>
  <c r="I47" i="39"/>
  <c r="I50" i="39"/>
  <c r="I69" i="39"/>
  <c r="G79" i="39"/>
  <c r="E147" i="39"/>
  <c r="E160" i="39"/>
  <c r="I16" i="43"/>
  <c r="I17" i="43"/>
  <c r="I18" i="43"/>
  <c r="I19" i="43"/>
  <c r="I20" i="43"/>
  <c r="I21" i="43"/>
  <c r="I22" i="43"/>
  <c r="I32" i="43"/>
  <c r="E36" i="43"/>
  <c r="G36" i="43"/>
  <c r="K36" i="43"/>
  <c r="O36" i="43" s="1"/>
  <c r="O38" i="43" s="1"/>
  <c r="E85" i="43"/>
  <c r="E98" i="43"/>
  <c r="E37" i="41"/>
  <c r="G37" i="41"/>
  <c r="K37" i="41"/>
  <c r="E73" i="41"/>
  <c r="K73" i="41"/>
  <c r="E138" i="41"/>
  <c r="E149" i="41"/>
  <c r="E170" i="41"/>
  <c r="E183" i="41"/>
  <c r="E195" i="41"/>
  <c r="I47" i="10"/>
  <c r="I41" i="37"/>
  <c r="P65" i="62" l="1"/>
  <c r="P107" i="71"/>
  <c r="I38" i="61"/>
  <c r="G90" i="8"/>
  <c r="O78" i="27"/>
  <c r="G83" i="57"/>
  <c r="E83" i="57"/>
  <c r="O73" i="41"/>
  <c r="K76" i="15"/>
  <c r="O74" i="15"/>
  <c r="O43" i="26"/>
  <c r="I54" i="19"/>
  <c r="I72" i="5"/>
  <c r="I67" i="7"/>
  <c r="I66" i="57"/>
  <c r="I58" i="28"/>
  <c r="I57" i="39"/>
  <c r="I60" i="27"/>
  <c r="I76" i="37"/>
  <c r="I30" i="61"/>
  <c r="I58" i="37"/>
  <c r="I57" i="8"/>
  <c r="I62" i="15"/>
  <c r="I30" i="26"/>
  <c r="I55" i="5"/>
  <c r="E27" i="11"/>
  <c r="I67" i="38"/>
  <c r="K67" i="10"/>
  <c r="P67" i="10"/>
  <c r="K90" i="38"/>
  <c r="K74" i="19"/>
  <c r="P72" i="19"/>
  <c r="P74" i="19" s="1"/>
  <c r="G40" i="61"/>
  <c r="K43" i="26"/>
  <c r="K27" i="11"/>
  <c r="G62" i="62"/>
  <c r="M40" i="61"/>
  <c r="M81" i="39"/>
  <c r="E40" i="61"/>
  <c r="G76" i="15"/>
  <c r="E62" i="62"/>
  <c r="I40" i="38"/>
  <c r="K80" i="27"/>
  <c r="I79" i="39"/>
  <c r="E76" i="15"/>
  <c r="E43" i="26"/>
  <c r="E67" i="10"/>
  <c r="E81" i="39"/>
  <c r="E38" i="43"/>
  <c r="I56" i="41"/>
  <c r="I54" i="10"/>
  <c r="I72" i="28"/>
  <c r="I55" i="6"/>
  <c r="I27" i="11"/>
  <c r="I41" i="26"/>
  <c r="I32" i="42"/>
  <c r="I41" i="42" s="1"/>
  <c r="E90" i="38"/>
  <c r="I52" i="62"/>
  <c r="I37" i="62"/>
  <c r="I74" i="15"/>
  <c r="G90" i="38"/>
  <c r="I29" i="17"/>
  <c r="I36" i="17"/>
  <c r="G43" i="26"/>
  <c r="M27" i="11"/>
  <c r="G27" i="11"/>
  <c r="I88" i="8"/>
  <c r="G80" i="7"/>
  <c r="I78" i="7"/>
  <c r="K74" i="28"/>
  <c r="I78" i="27"/>
  <c r="I37" i="27"/>
  <c r="K81" i="39"/>
  <c r="I36" i="39"/>
  <c r="I28" i="43"/>
  <c r="G38" i="43"/>
  <c r="I37" i="41"/>
  <c r="K79" i="37"/>
  <c r="E79" i="37"/>
  <c r="I37" i="10"/>
  <c r="G67" i="10"/>
  <c r="G79" i="37"/>
  <c r="I37" i="28"/>
  <c r="E80" i="27"/>
  <c r="G80" i="27"/>
  <c r="G75" i="40"/>
  <c r="I51" i="40"/>
  <c r="I58" i="40" s="1"/>
  <c r="I37" i="40"/>
  <c r="K75" i="40"/>
  <c r="G81" i="39"/>
  <c r="E75" i="41"/>
  <c r="K75" i="41"/>
  <c r="K38" i="43"/>
  <c r="I36" i="43"/>
  <c r="I37" i="19"/>
  <c r="G74" i="19"/>
  <c r="O74" i="19"/>
  <c r="G74" i="28"/>
  <c r="I39" i="15"/>
  <c r="I37" i="57"/>
  <c r="I37" i="8"/>
  <c r="I37" i="37"/>
  <c r="G68" i="6"/>
  <c r="M67" i="10"/>
  <c r="I37" i="7"/>
  <c r="E80" i="7"/>
  <c r="I37" i="6"/>
  <c r="E68" i="6"/>
  <c r="K68" i="6"/>
  <c r="I37" i="5"/>
  <c r="G74" i="5"/>
  <c r="E74" i="5"/>
  <c r="K74" i="5"/>
  <c r="M80" i="27"/>
  <c r="M75" i="41"/>
  <c r="M80" i="7"/>
  <c r="O27" i="11" l="1"/>
  <c r="I90" i="8"/>
  <c r="P74" i="15"/>
  <c r="P76" i="15" s="1"/>
  <c r="I83" i="57"/>
  <c r="I75" i="40"/>
  <c r="I43" i="26"/>
  <c r="I40" i="61"/>
  <c r="I90" i="38"/>
  <c r="I62" i="62"/>
  <c r="I68" i="6"/>
  <c r="I81" i="39"/>
  <c r="I67" i="10"/>
  <c r="I74" i="19"/>
  <c r="I76" i="15"/>
  <c r="I38" i="17"/>
  <c r="I80" i="7"/>
  <c r="I74" i="28"/>
  <c r="I80" i="27"/>
  <c r="I79" i="37"/>
  <c r="I38" i="43"/>
  <c r="I74" i="5"/>
  <c r="G73" i="41" l="1"/>
  <c r="G75" i="41" s="1"/>
  <c r="I73" i="41"/>
  <c r="I75" i="41" s="1"/>
  <c r="O82" i="71" l="1"/>
  <c r="Q51" i="71"/>
  <c r="Q82" i="71" s="1"/>
  <c r="Q98" i="71" s="1"/>
  <c r="M109" i="72" l="1"/>
</calcChain>
</file>

<file path=xl/sharedStrings.xml><?xml version="1.0" encoding="utf-8"?>
<sst xmlns="http://schemas.openxmlformats.org/spreadsheetml/2006/main" count="7716" uniqueCount="1882">
  <si>
    <t xml:space="preserve">        Representation Expenses</t>
  </si>
  <si>
    <t xml:space="preserve">        Medical, Dental &amp; Laboratory Supplies Expenses</t>
  </si>
  <si>
    <t>Function</t>
  </si>
  <si>
    <t>Project/Act.</t>
  </si>
  <si>
    <t>Fund</t>
  </si>
  <si>
    <t>Account</t>
  </si>
  <si>
    <t>Code</t>
  </si>
  <si>
    <t>Past Year</t>
  </si>
  <si>
    <t>Budget Year</t>
  </si>
  <si>
    <t>(Estimate)</t>
  </si>
  <si>
    <t>(Actual)</t>
  </si>
  <si>
    <t xml:space="preserve"> </t>
  </si>
  <si>
    <t>GRAND TOTAL</t>
  </si>
  <si>
    <t>Total Maintenance &amp; Other Operating Exp.</t>
  </si>
  <si>
    <t>Total Personal Services</t>
  </si>
  <si>
    <t>P</t>
  </si>
  <si>
    <t>Total Capital Outlay</t>
  </si>
  <si>
    <r>
      <t xml:space="preserve">Office/Dept.  </t>
    </r>
    <r>
      <rPr>
        <b/>
        <sz val="10"/>
        <rFont val="Tahoma"/>
        <family val="2"/>
      </rPr>
      <t>:  NON-OFFICE</t>
    </r>
  </si>
  <si>
    <r>
      <t xml:space="preserve">Project/Act.  </t>
    </r>
    <r>
      <rPr>
        <b/>
        <sz val="10"/>
        <rFont val="Tahoma"/>
        <family val="2"/>
      </rPr>
      <t>:  General Administration</t>
    </r>
  </si>
  <si>
    <r>
      <t xml:space="preserve">Fund          </t>
    </r>
    <r>
      <rPr>
        <b/>
        <sz val="10"/>
        <rFont val="Tahoma"/>
        <family val="2"/>
      </rPr>
      <t xml:space="preserve">  :  General Fund </t>
    </r>
  </si>
  <si>
    <t xml:space="preserve">:  </t>
  </si>
  <si>
    <t>A. PERSONAL SERVICES</t>
  </si>
  <si>
    <t>B. PROGRAMS/ PROJECTS/ ACTIVITIES</t>
  </si>
  <si>
    <t>Total Non-Office Prog./Proj./Act.</t>
  </si>
  <si>
    <r>
      <t xml:space="preserve">Function       </t>
    </r>
    <r>
      <rPr>
        <b/>
        <sz val="10"/>
        <rFont val="Tahoma"/>
        <family val="2"/>
      </rPr>
      <t>:  Gender and Development P/P/As</t>
    </r>
  </si>
  <si>
    <t>3. Water Supply, Sewerage and Sanitation</t>
  </si>
  <si>
    <t>BY OBJECT OF EXPENDITURE</t>
  </si>
  <si>
    <t>(Proposed)</t>
  </si>
  <si>
    <t xml:space="preserve">        Office Supplies Expenses</t>
  </si>
  <si>
    <t xml:space="preserve">        Water Expenses</t>
  </si>
  <si>
    <t xml:space="preserve">        Repairs and Maint. - Furniture &amp; Fixtures</t>
  </si>
  <si>
    <t xml:space="preserve">        Donations</t>
  </si>
  <si>
    <t xml:space="preserve">        Legal Services</t>
  </si>
  <si>
    <t xml:space="preserve">        Other Maintenance and Operating Expenses</t>
  </si>
  <si>
    <t>OBJECT OF EXPENDITURE</t>
  </si>
  <si>
    <t>PROGRAMMED APPROPRIATION AND OBLIGATION</t>
  </si>
  <si>
    <t xml:space="preserve">        Fidelity Bond Premiums</t>
  </si>
  <si>
    <t xml:space="preserve">        Subscription Expenses</t>
  </si>
  <si>
    <t xml:space="preserve">       Auditing Services</t>
  </si>
  <si>
    <t>Prepared:                                          Reviewed:                                        Approved:</t>
  </si>
  <si>
    <t>1. Health and Safety Promotion</t>
  </si>
  <si>
    <t xml:space="preserve">        Traveling Expenses - Local </t>
  </si>
  <si>
    <t xml:space="preserve">        Training Expenses</t>
  </si>
  <si>
    <t xml:space="preserve">        Advertising Expenses</t>
  </si>
  <si>
    <t xml:space="preserve">        Insurance Expenses</t>
  </si>
  <si>
    <t xml:space="preserve">        Confidential Expenses</t>
  </si>
  <si>
    <t xml:space="preserve">        Electricity Expenses</t>
  </si>
  <si>
    <t xml:space="preserve">        Accountable Forms Expenses</t>
  </si>
  <si>
    <t xml:space="preserve">        Animal/ Zoological Supplies Expenses</t>
  </si>
  <si>
    <t>I. Terminal Leave Benefits</t>
  </si>
  <si>
    <t xml:space="preserve">     Motor Vehicles</t>
  </si>
  <si>
    <t xml:space="preserve">     Office Equipment</t>
  </si>
  <si>
    <t xml:space="preserve">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</si>
  <si>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</si>
  <si>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</si>
  <si>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</si>
  <si>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</si>
  <si>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</si>
  <si>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 xml:space="preserve">     Other Machinery and Equipment</t>
  </si>
  <si>
    <t>Other Maintenance and Operating Expenses - 969</t>
  </si>
  <si>
    <t>Breakdown of</t>
  </si>
  <si>
    <t>Job Order Wages</t>
  </si>
  <si>
    <t>VMLP Annual Dues</t>
  </si>
  <si>
    <t>VMLP Meetings/ Conferences/ Operations</t>
  </si>
  <si>
    <t>Total</t>
  </si>
  <si>
    <t>Support to the Philippine Councilors League</t>
  </si>
  <si>
    <t>Local Lady Legislator's League Activities</t>
  </si>
  <si>
    <t>Committee/ En Banc Hearings</t>
  </si>
  <si>
    <t>Support to PLEASES</t>
  </si>
  <si>
    <t>Support to Library Management</t>
  </si>
  <si>
    <t>Support to Resident Ombudsman</t>
  </si>
  <si>
    <t>Legislative Research Services</t>
  </si>
  <si>
    <t>Senior Citizens Activities</t>
  </si>
  <si>
    <t>Support to Older Persons (70 years old &amp; above)</t>
  </si>
  <si>
    <t>OSCA Head Honorarium</t>
  </si>
  <si>
    <t>Senior Citizen Presidents Honorarium</t>
  </si>
  <si>
    <t>Other Maintenace and Operating Expenses</t>
  </si>
  <si>
    <t>Other Maintenance &amp; Operating Expenses</t>
  </si>
  <si>
    <t>Tax Collection Activities</t>
  </si>
  <si>
    <t>Outstanding Taxpayers Incentives</t>
  </si>
  <si>
    <t>ECPAC</t>
  </si>
  <si>
    <t>Real Property Tax Assessment Activities</t>
  </si>
  <si>
    <t>Tax Mapping and General Revision</t>
  </si>
  <si>
    <t>HRM Information System</t>
  </si>
  <si>
    <t>HRMO League Conferences/ Meetings</t>
  </si>
  <si>
    <t>Office</t>
  </si>
  <si>
    <t>TOTAL</t>
  </si>
  <si>
    <t>Land Titling Activities</t>
  </si>
  <si>
    <t xml:space="preserve">        Cable, Satellite, Telegraph and Radio Expenses</t>
  </si>
  <si>
    <t>Hatud Serbisyo sa Barangay</t>
  </si>
  <si>
    <t>(2016)</t>
  </si>
  <si>
    <t>Support to Municipal Budgeting</t>
  </si>
  <si>
    <t>Support to Barangay Budgeting</t>
  </si>
  <si>
    <t>Barangay Justice System/ KP Seminars</t>
  </si>
  <si>
    <t>Civil Registry Information System Maintenance/ Updating/ Availment</t>
  </si>
  <si>
    <t>Capability Building Program</t>
  </si>
  <si>
    <t>Civil Service Month Celebration</t>
  </si>
  <si>
    <t>Personnel Selection Board Meetings</t>
  </si>
  <si>
    <t>Fact Finding Board Investigation</t>
  </si>
  <si>
    <t>Anti-Red Tape Act (ARTA) Programs and Activities</t>
  </si>
  <si>
    <t>Strategic Performance Management System</t>
  </si>
  <si>
    <t>Techno Demo Farm Operation and Management</t>
  </si>
  <si>
    <t>Support to Rural Improvement Club</t>
  </si>
  <si>
    <t>Support to 4H Club</t>
  </si>
  <si>
    <t>Support to Integrated Fish Aquatic Resources &amp; Mngt.</t>
  </si>
  <si>
    <t xml:space="preserve">     Council/ Fisherfolks</t>
  </si>
  <si>
    <t>Comprehensive Land Use Plan Reproduction</t>
  </si>
  <si>
    <t>Barangay Profiling/ Updating (20 Barangays)</t>
  </si>
  <si>
    <t>Support to Municipal Development Council Activities</t>
  </si>
  <si>
    <t>Project Monitoring, Evaluation and Reporting</t>
  </si>
  <si>
    <t xml:space="preserve">Grassroots Participatory Budgeting Process (GPB) </t>
  </si>
  <si>
    <t xml:space="preserve">     of Adjustment and Appeals</t>
  </si>
  <si>
    <t>Support to Zoning Administration/ Local Zoning Board</t>
  </si>
  <si>
    <t>5. Social Protection Programs</t>
  </si>
  <si>
    <t>5-01-01-010</t>
  </si>
  <si>
    <t>5-01-01-020</t>
  </si>
  <si>
    <t>5-01-02-010</t>
  </si>
  <si>
    <t>5-01-02-020</t>
  </si>
  <si>
    <t>5-01-02-030</t>
  </si>
  <si>
    <t>5-01-02-040</t>
  </si>
  <si>
    <t>5-01-02-150</t>
  </si>
  <si>
    <t>5-01-02-140</t>
  </si>
  <si>
    <t>5-01-03-010</t>
  </si>
  <si>
    <t>5-01-03-020</t>
  </si>
  <si>
    <t>5-01-03-030</t>
  </si>
  <si>
    <t>5-01-03-040</t>
  </si>
  <si>
    <t>5-02-01-010</t>
  </si>
  <si>
    <t>5-02-02-010</t>
  </si>
  <si>
    <t>5-02-03-010</t>
  </si>
  <si>
    <t>5-02-03-090</t>
  </si>
  <si>
    <t xml:space="preserve">        Fuel, Oil and Lubricants Expenses</t>
  </si>
  <si>
    <t>5-02-05-010</t>
  </si>
  <si>
    <t xml:space="preserve">        Postage and Courier Services</t>
  </si>
  <si>
    <t>5-02-05-020</t>
  </si>
  <si>
    <t>5-02-05-030</t>
  </si>
  <si>
    <t xml:space="preserve">        Internet Subscription Expenses</t>
  </si>
  <si>
    <t>5-02-99-010</t>
  </si>
  <si>
    <t>5-02-99-020</t>
  </si>
  <si>
    <t xml:space="preserve">        Printing and Publication Expenses</t>
  </si>
  <si>
    <t>5-02-99-070</t>
  </si>
  <si>
    <t>5-02-11-010</t>
  </si>
  <si>
    <t>5-02-13-050</t>
  </si>
  <si>
    <t xml:space="preserve">        Repairs and Maint. - Machinery &amp; Equipment</t>
  </si>
  <si>
    <t>5-02-13-070</t>
  </si>
  <si>
    <t>5-02-13-060</t>
  </si>
  <si>
    <t xml:space="preserve">        Repairs and Maint. - Transportation Equipment</t>
  </si>
  <si>
    <t>5-02-99-080</t>
  </si>
  <si>
    <t>5-02-10-010</t>
  </si>
  <si>
    <t>5-02-99-990</t>
  </si>
  <si>
    <t>1-07-05-020</t>
  </si>
  <si>
    <t>1-07-07-010</t>
  </si>
  <si>
    <t>1-07-05-030</t>
  </si>
  <si>
    <t xml:space="preserve">     Furniture and Fixtures</t>
  </si>
  <si>
    <t xml:space="preserve">     Information &amp; Communication Technology Equipment</t>
  </si>
  <si>
    <t xml:space="preserve">     Info. &amp; Communication Technology Equipment</t>
  </si>
  <si>
    <t>1-07-05-990</t>
  </si>
  <si>
    <t>1-07-06-010</t>
  </si>
  <si>
    <t>5-01-02-050</t>
  </si>
  <si>
    <t>5-01-02-060</t>
  </si>
  <si>
    <t>5-01-02-110</t>
  </si>
  <si>
    <t>5-01-04-030</t>
  </si>
  <si>
    <t>5-01-04-990</t>
  </si>
  <si>
    <t>5-02-10-030</t>
  </si>
  <si>
    <t xml:space="preserve">        Telephone Expenses</t>
  </si>
  <si>
    <t>5-02-99-030</t>
  </si>
  <si>
    <t>5-02-03-020</t>
  </si>
  <si>
    <t>5-02-04-010</t>
  </si>
  <si>
    <t>5-02-04-020</t>
  </si>
  <si>
    <t>5-02-16-030</t>
  </si>
  <si>
    <t>5-02-16-020</t>
  </si>
  <si>
    <t>5-02-11-020</t>
  </si>
  <si>
    <t>5-02-03-120</t>
  </si>
  <si>
    <t xml:space="preserve">        Military, Police &amp; Traffic Supplies Expenses</t>
  </si>
  <si>
    <t>5-02-03-080</t>
  </si>
  <si>
    <t>5-02-03-990</t>
  </si>
  <si>
    <t xml:space="preserve">        Other Supplies &amp; Materials Expenses</t>
  </si>
  <si>
    <t>5-02-13-040</t>
  </si>
  <si>
    <t xml:space="preserve">        Repairs and Maint. - Bldgs. &amp; Other Structures</t>
  </si>
  <si>
    <t>5-02-03-040</t>
  </si>
  <si>
    <t xml:space="preserve">        Agricultural and Marine Supplies Expenses</t>
  </si>
  <si>
    <t>5-02-03-100</t>
  </si>
  <si>
    <t>1-07-05-080</t>
  </si>
  <si>
    <t>5-02-05-040</t>
  </si>
  <si>
    <t>1-07-04-010</t>
  </si>
  <si>
    <t>First Semester</t>
  </si>
  <si>
    <t>Second Semester</t>
  </si>
  <si>
    <t>Local Budget Preparation Form No. 2</t>
  </si>
  <si>
    <t xml:space="preserve">Prepared: </t>
  </si>
  <si>
    <t xml:space="preserve">Reviewed: </t>
  </si>
  <si>
    <t xml:space="preserve">                                                                                        </t>
  </si>
  <si>
    <t>Approved:</t>
  </si>
  <si>
    <t xml:space="preserve">                                                                              </t>
  </si>
  <si>
    <t>Municipal Mayor</t>
  </si>
  <si>
    <t xml:space="preserve">Municipal Budget Officer  </t>
  </si>
  <si>
    <t xml:space="preserve">                                                                                                         </t>
  </si>
  <si>
    <t>PROGRAMMED APPROPRIATION AND OBLIGATION BY OBJECT OF EXPENDITURE</t>
  </si>
  <si>
    <t xml:space="preserve">Municipal Vice Mayor </t>
  </si>
  <si>
    <t xml:space="preserve">                                                             </t>
  </si>
  <si>
    <t xml:space="preserve">Municipal Budget Officer </t>
  </si>
  <si>
    <t xml:space="preserve">                                                                                      </t>
  </si>
  <si>
    <t xml:space="preserve">                                                        </t>
  </si>
  <si>
    <t>OSCA Head</t>
  </si>
  <si>
    <t xml:space="preserve">                                                                                                     </t>
  </si>
  <si>
    <t xml:space="preserve">                                                                  </t>
  </si>
  <si>
    <t xml:space="preserve">Municipal  Administrator </t>
  </si>
  <si>
    <t xml:space="preserve">Human Resource Mgt. Officer V </t>
  </si>
  <si>
    <t>Municipal Budget Officer</t>
  </si>
  <si>
    <t xml:space="preserve">Municipal Planning &amp; Dev't. Coordinator </t>
  </si>
  <si>
    <t xml:space="preserve">Municipal General Services Officer </t>
  </si>
  <si>
    <t>Municipal Treasurer</t>
  </si>
  <si>
    <t xml:space="preserve">                                                                 </t>
  </si>
  <si>
    <t xml:space="preserve">Municipal Assessor </t>
  </si>
  <si>
    <t>Municipal Health Officer</t>
  </si>
  <si>
    <t xml:space="preserve">                                                                             </t>
  </si>
  <si>
    <t xml:space="preserve">Mun. Social Welfare &amp; Dev't. Officer </t>
  </si>
  <si>
    <t xml:space="preserve">                                                            </t>
  </si>
  <si>
    <t xml:space="preserve">                                                     </t>
  </si>
  <si>
    <t xml:space="preserve">Municipal Engineer </t>
  </si>
  <si>
    <t xml:space="preserve">                                                                          </t>
  </si>
  <si>
    <t xml:space="preserve">LEEO Manager </t>
  </si>
  <si>
    <t>MCRO</t>
  </si>
  <si>
    <t>GSO</t>
  </si>
  <si>
    <t>MBO</t>
  </si>
  <si>
    <t>MACCO</t>
  </si>
  <si>
    <t>MTO</t>
  </si>
  <si>
    <t>MASSO</t>
  </si>
  <si>
    <t>MAGO</t>
  </si>
  <si>
    <t xml:space="preserve">                                                                                                    </t>
  </si>
  <si>
    <t>(2017)</t>
  </si>
  <si>
    <t>Pre-Retirement Program</t>
  </si>
  <si>
    <t>Talents &amp; Skills Enhancement Program</t>
  </si>
  <si>
    <t xml:space="preserve"> Drug-Free Workplace Program</t>
  </si>
  <si>
    <t xml:space="preserve">        Internet Subscription Expense</t>
  </si>
  <si>
    <t>Other Maintenance and Operating Expenses - 5-02-99-990</t>
  </si>
  <si>
    <t xml:space="preserve">Medicolegal </t>
  </si>
  <si>
    <t>Wages (Sub-collectors Takay)</t>
  </si>
  <si>
    <t>Support to RBO's</t>
  </si>
  <si>
    <t>(2017</t>
  </si>
  <si>
    <t>OSCA</t>
  </si>
  <si>
    <t>SBO</t>
  </si>
  <si>
    <t>SSBO</t>
  </si>
  <si>
    <t>MPDO</t>
  </si>
  <si>
    <t xml:space="preserve">        Repairs and Maint. - Buildings and Other Structures</t>
  </si>
  <si>
    <t>DILG</t>
  </si>
  <si>
    <t>ADMIN</t>
  </si>
  <si>
    <t>HRMO</t>
  </si>
  <si>
    <t>MVMO</t>
  </si>
  <si>
    <t>Annual Investment Programming (AIP) CY 2018</t>
  </si>
  <si>
    <t>Local Governance Performance Management Report CY 2016</t>
  </si>
  <si>
    <t xml:space="preserve">     CY 2017 &amp; 2018</t>
  </si>
  <si>
    <t xml:space="preserve">             - 500,000.00 - Improvement of Municipal Building and Facilities</t>
  </si>
  <si>
    <t xml:space="preserve">             - 900,000.00 - Repainting of Municipal Building</t>
  </si>
  <si>
    <t xml:space="preserve">     Other Land Improvements</t>
  </si>
  <si>
    <t>1-07-02-990</t>
  </si>
  <si>
    <t xml:space="preserve">             - 4,000,000.00 - Concreting</t>
  </si>
  <si>
    <t xml:space="preserve">             - 1,500,000.00 - Municipal Cemetery Fence</t>
  </si>
  <si>
    <t xml:space="preserve">        Repairs and Maint. - Machinery and Equipment</t>
  </si>
  <si>
    <t xml:space="preserve">        Telephone Expenses </t>
  </si>
  <si>
    <t>5-01-02-990</t>
  </si>
  <si>
    <t xml:space="preserve">             - Loyalty Cash Award</t>
  </si>
  <si>
    <t xml:space="preserve">             - Productivity Enhancement Incentive (PEI)</t>
  </si>
  <si>
    <t xml:space="preserve">             - Productivity enhancement Incentive (PEI)</t>
  </si>
  <si>
    <t xml:space="preserve">        Salaries and Wages</t>
  </si>
  <si>
    <t xml:space="preserve">           Salaries and Wages - Regular</t>
  </si>
  <si>
    <t xml:space="preserve">           Salaries and Wages - Casual/Contractual</t>
  </si>
  <si>
    <t xml:space="preserve">        Other Compensation</t>
  </si>
  <si>
    <t xml:space="preserve">           Personal Economic Relief Allowance (PERA)</t>
  </si>
  <si>
    <t xml:space="preserve">           Representation Allowance (RA)</t>
  </si>
  <si>
    <t xml:space="preserve">           Transportation Allowance (TA)</t>
  </si>
  <si>
    <t xml:space="preserve">           Clothing/ Uniform Allowance</t>
  </si>
  <si>
    <t xml:space="preserve">           Cash Gift</t>
  </si>
  <si>
    <t xml:space="preserve">           Year End Bonus</t>
  </si>
  <si>
    <t xml:space="preserve">           Retirement and Life Insurance Premiums</t>
  </si>
  <si>
    <t xml:space="preserve">           Pag-IBIG Contributions</t>
  </si>
  <si>
    <t xml:space="preserve">           PhilHealth Contributions</t>
  </si>
  <si>
    <t xml:space="preserve">           Employees Compensation Insurance Premiums</t>
  </si>
  <si>
    <t xml:space="preserve">           Other Personnel Benefits</t>
  </si>
  <si>
    <t>TOTAL APPROPRIATIONS</t>
  </si>
  <si>
    <t xml:space="preserve">           Other Bonuses and Allowances</t>
  </si>
  <si>
    <t xml:space="preserve">              - Mid-Year Bonus</t>
  </si>
  <si>
    <t xml:space="preserve">              - Anniversary Bonus</t>
  </si>
  <si>
    <t>PERSONAL SERVICES</t>
  </si>
  <si>
    <t>MAINT. &amp; OTHER OPERATING EXPENSES</t>
  </si>
  <si>
    <t>CAPITAL OUTLAYS</t>
  </si>
  <si>
    <t xml:space="preserve">              - Productivity Enhancement Incentive (PEI)</t>
  </si>
  <si>
    <t xml:space="preserve">              - Loyalty Cash Award</t>
  </si>
  <si>
    <t xml:space="preserve">           Salaries and Wages - Casual/Contarctual</t>
  </si>
  <si>
    <t xml:space="preserve">           Salaries and Wages - CasualContractual</t>
  </si>
  <si>
    <t xml:space="preserve">           Subsistence Allowance</t>
  </si>
  <si>
    <t xml:space="preserve">           Laundry Allowance</t>
  </si>
  <si>
    <t xml:space="preserve">           Hazard Pay</t>
  </si>
  <si>
    <t xml:space="preserve">           Terminal Leave Benefits</t>
  </si>
  <si>
    <t xml:space="preserve">             - Reserve for Salary Increase/Adjustment</t>
  </si>
  <si>
    <t>SPECIAL PURPOSE APPROPRIATIONS (SPAs)</t>
  </si>
  <si>
    <t>Total Special Purpose Appropriations</t>
  </si>
  <si>
    <t>Municipal Engineering Office</t>
  </si>
  <si>
    <t xml:space="preserve">                                                                                                                                 </t>
  </si>
  <si>
    <t xml:space="preserve">        Other Supplies &amp; Materials Expense</t>
  </si>
  <si>
    <t>5-02-14-020</t>
  </si>
  <si>
    <t>Secretary to the Sanggunian</t>
  </si>
  <si>
    <t>(2018)</t>
  </si>
  <si>
    <t>PCL Conferences</t>
  </si>
  <si>
    <t>Philippine Councilors League Annual Dues</t>
  </si>
  <si>
    <t>One Stop Shop</t>
  </si>
  <si>
    <t>Business Inspection (Include Monthly Incidental Allowance)</t>
  </si>
  <si>
    <t>PRIME-HRM</t>
  </si>
  <si>
    <t>HRD-L&amp;D Programs</t>
  </si>
  <si>
    <t>PRAISE</t>
  </si>
  <si>
    <t>SHR, Succession and Career Pathing</t>
  </si>
  <si>
    <t>Raffle Draw</t>
  </si>
  <si>
    <t>Proposed Geo-Tagging (Computerized Mapping)</t>
  </si>
  <si>
    <t>PNP</t>
  </si>
  <si>
    <t>Other Maintenance and Operating Expenses</t>
  </si>
  <si>
    <t>Annual Investment Programming (AIP) CY 2019</t>
  </si>
  <si>
    <t xml:space="preserve">     CY 2018 &amp; 2019</t>
  </si>
  <si>
    <t>Local Governance Performance Management Report CY 2017</t>
  </si>
  <si>
    <t>Land Titling</t>
  </si>
  <si>
    <t>Formulation of LEE FS and BP</t>
  </si>
  <si>
    <t>*fire jacket, trousers, boots helmets, gas mask and hoods</t>
  </si>
  <si>
    <t xml:space="preserve">     Machinery</t>
  </si>
  <si>
    <t>1-07-05-010</t>
  </si>
  <si>
    <t xml:space="preserve">        Extraordinary &amp; Miscellanous Expenses</t>
  </si>
  <si>
    <t>MEO</t>
  </si>
  <si>
    <t>Rice Expense</t>
  </si>
  <si>
    <t>MHO</t>
  </si>
  <si>
    <t xml:space="preserve">Other Maintenance and Operating Expenses </t>
  </si>
  <si>
    <t xml:space="preserve">           Camera</t>
  </si>
  <si>
    <t xml:space="preserve">           Office Table</t>
  </si>
  <si>
    <t xml:space="preserve">           Cabinet</t>
  </si>
  <si>
    <t xml:space="preserve">           Cabinet </t>
  </si>
  <si>
    <t xml:space="preserve">           1 unit Desktop Computer w/ Printer</t>
  </si>
  <si>
    <t xml:space="preserve">           2 units Laptop</t>
  </si>
  <si>
    <t xml:space="preserve">            1 unit Airconditioner</t>
  </si>
  <si>
    <t xml:space="preserve">              2 units Desktop Computer w/ Complete Accessories</t>
  </si>
  <si>
    <t xml:space="preserve">     Computer Software</t>
  </si>
  <si>
    <t>1-09-01-020</t>
  </si>
  <si>
    <t>MSWDO</t>
  </si>
  <si>
    <t xml:space="preserve">           1 unit Sound System</t>
  </si>
  <si>
    <t xml:space="preserve">  Debt Service (Loan Repayment)</t>
  </si>
  <si>
    <t xml:space="preserve">           Cabinets</t>
  </si>
  <si>
    <t xml:space="preserve">           Projector</t>
  </si>
  <si>
    <t>1-07-10-030</t>
  </si>
  <si>
    <t>Job Order Services</t>
  </si>
  <si>
    <t>Safety Assistance</t>
  </si>
  <si>
    <t>Crime Prevention Activities</t>
  </si>
  <si>
    <t>State of the Municipality Address</t>
  </si>
  <si>
    <t>Environment Protection &amp; Mgt. Program</t>
  </si>
  <si>
    <t>Livelihood Enterprenuership Dev't. Program</t>
  </si>
  <si>
    <t>Maintenance of Public Plaza, Parks &amp; Gov't. Facilities</t>
  </si>
  <si>
    <t>Support to Maramag Polytechnic School</t>
  </si>
  <si>
    <t>Physical Fitness &amp; Sports Dev't. Program</t>
  </si>
  <si>
    <t>Support to Rabies Eradication Program</t>
  </si>
  <si>
    <t>Support to Fish Warden</t>
  </si>
  <si>
    <t xml:space="preserve">        Membership Dues and Contributions to Organizations</t>
  </si>
  <si>
    <t>5-02-99-060</t>
  </si>
  <si>
    <t>ECPAC Software Monthly Rental</t>
  </si>
  <si>
    <t>Tokens for Visitors per month (12 mos.)</t>
  </si>
  <si>
    <t xml:space="preserve">        Water Resource Development Activties</t>
  </si>
  <si>
    <t xml:space="preserve">        Support to Vermicast Production</t>
  </si>
  <si>
    <t xml:space="preserve">        Ecological Solid Waste Management Board</t>
  </si>
  <si>
    <t xml:space="preserve">        Construction of Niches</t>
  </si>
  <si>
    <t xml:space="preserve">        Traveling Expenses</t>
  </si>
  <si>
    <t xml:space="preserve">        Academic Excellence Award</t>
  </si>
  <si>
    <t xml:space="preserve">       Sports Equipment and Facilities</t>
  </si>
  <si>
    <t xml:space="preserve">       Support to Sports Competition</t>
  </si>
  <si>
    <t xml:space="preserve">       Support to Barangay Sports Development</t>
  </si>
  <si>
    <t xml:space="preserve">       IEC Materials</t>
  </si>
  <si>
    <t xml:space="preserve">       Rabies Prevention Program</t>
  </si>
  <si>
    <t xml:space="preserve">       Dog/Cat Vaccinations</t>
  </si>
  <si>
    <t xml:space="preserve">       Human; pre-Exposure immunization</t>
  </si>
  <si>
    <t xml:space="preserve">       Animal Population Control</t>
  </si>
  <si>
    <t xml:space="preserve">       Dog Pound</t>
  </si>
  <si>
    <t xml:space="preserve">       Support to Inter-LGU Watershed Conference </t>
  </si>
  <si>
    <t xml:space="preserve">                            (LGU Counterpart)</t>
  </si>
  <si>
    <t xml:space="preserve">       Support to PAMB Mt. Kalatungan Range </t>
  </si>
  <si>
    <t xml:space="preserve">              Natural Park protection and conservation </t>
  </si>
  <si>
    <t xml:space="preserve">               program (establishment of tree growing </t>
  </si>
  <si>
    <t xml:space="preserve">                along buffer zone)</t>
  </si>
  <si>
    <t xml:space="preserve">        Production/ Purchase of Chemicals and </t>
  </si>
  <si>
    <t xml:space="preserve">                   Micro Organism</t>
  </si>
  <si>
    <t xml:space="preserve">        Support to Local Environment Monitoring</t>
  </si>
  <si>
    <t xml:space="preserve">                          Team (LEMT)</t>
  </si>
  <si>
    <t xml:space="preserve">        Support to Municipal Ecological Sold Waste </t>
  </si>
  <si>
    <t xml:space="preserve">                           Board Activities</t>
  </si>
  <si>
    <t>Day Care Services</t>
  </si>
  <si>
    <t>Self-Employment Assistance</t>
  </si>
  <si>
    <t>Support to Rural Based Organizations</t>
  </si>
  <si>
    <t>Local Economic Enterprise Council Activities</t>
  </si>
  <si>
    <t xml:space="preserve">        Supp. to All Saints and All Souls Day Celebration</t>
  </si>
  <si>
    <t>Barangay Affairs Operation Support</t>
  </si>
  <si>
    <t xml:space="preserve">       Support to Barangay Animal Health Workers</t>
  </si>
  <si>
    <t xml:space="preserve">           Airconditioner</t>
  </si>
  <si>
    <t xml:space="preserve">           Swivel Chair with Arm Rest</t>
  </si>
  <si>
    <t xml:space="preserve">           1 unit Laptop</t>
  </si>
  <si>
    <r>
      <t xml:space="preserve">LGU: </t>
    </r>
    <r>
      <rPr>
        <b/>
        <u/>
        <sz val="8"/>
        <rFont val="Arial Narrow"/>
        <family val="2"/>
      </rPr>
      <t>MARAMAG, BUKIDNON</t>
    </r>
  </si>
  <si>
    <r>
      <t xml:space="preserve">:  </t>
    </r>
    <r>
      <rPr>
        <b/>
        <sz val="8"/>
        <rFont val="Arial Narrow"/>
        <family val="2"/>
      </rPr>
      <t>MUNICIPAL MAYOR'S OFFICE</t>
    </r>
  </si>
  <si>
    <r>
      <t xml:space="preserve">: </t>
    </r>
    <r>
      <rPr>
        <b/>
        <sz val="8"/>
        <rFont val="Arial Narrow"/>
        <family val="2"/>
      </rPr>
      <t xml:space="preserve"> Executive Services</t>
    </r>
  </si>
  <si>
    <r>
      <t xml:space="preserve">:  </t>
    </r>
    <r>
      <rPr>
        <b/>
        <sz val="8"/>
        <rFont val="Arial Narrow"/>
        <family val="2"/>
      </rPr>
      <t>General Administration</t>
    </r>
  </si>
  <si>
    <r>
      <t xml:space="preserve">:  </t>
    </r>
    <r>
      <rPr>
        <b/>
        <sz val="8"/>
        <rFont val="Arial Narrow"/>
        <family val="2"/>
      </rPr>
      <t>General Fund</t>
    </r>
  </si>
  <si>
    <r>
      <t xml:space="preserve">:  </t>
    </r>
    <r>
      <rPr>
        <b/>
        <sz val="8"/>
        <rFont val="Arial Narrow"/>
        <family val="2"/>
      </rPr>
      <t xml:space="preserve">Legislative Services </t>
    </r>
  </si>
  <si>
    <r>
      <t xml:space="preserve">:  </t>
    </r>
    <r>
      <rPr>
        <b/>
        <sz val="8"/>
        <rFont val="Arial Narrow"/>
        <family val="2"/>
      </rPr>
      <t xml:space="preserve">Enactment/Regulation of Ordinances </t>
    </r>
  </si>
  <si>
    <r>
      <t xml:space="preserve">LGU: </t>
    </r>
    <r>
      <rPr>
        <b/>
        <u/>
        <sz val="9"/>
        <rFont val="Arial Narrow"/>
        <family val="2"/>
      </rPr>
      <t>MARAMAG, BUKIDNON</t>
    </r>
  </si>
  <si>
    <r>
      <t xml:space="preserve">:  </t>
    </r>
    <r>
      <rPr>
        <b/>
        <sz val="9"/>
        <rFont val="Arial Narrow"/>
        <family val="2"/>
      </rPr>
      <t xml:space="preserve">Legislative Services </t>
    </r>
  </si>
  <si>
    <r>
      <t xml:space="preserve">:  </t>
    </r>
    <r>
      <rPr>
        <b/>
        <sz val="9"/>
        <rFont val="Arial Narrow"/>
        <family val="2"/>
      </rPr>
      <t xml:space="preserve">Enactment/Regulation of Ordinances </t>
    </r>
  </si>
  <si>
    <r>
      <t xml:space="preserve">:  </t>
    </r>
    <r>
      <rPr>
        <b/>
        <sz val="9"/>
        <rFont val="Arial Narrow"/>
        <family val="2"/>
      </rPr>
      <t>General Fund</t>
    </r>
  </si>
  <si>
    <r>
      <t xml:space="preserve">:  </t>
    </r>
    <r>
      <rPr>
        <b/>
        <sz val="9"/>
        <rFont val="Arial Narrow"/>
        <family val="2"/>
      </rPr>
      <t>OFFICE OF THE SENIOR CITIZEN AFFAIRS</t>
    </r>
  </si>
  <si>
    <r>
      <t xml:space="preserve">: </t>
    </r>
    <r>
      <rPr>
        <b/>
        <sz val="9"/>
        <rFont val="Arial Narrow"/>
        <family val="2"/>
      </rPr>
      <t>Social Services for the Elderly</t>
    </r>
  </si>
  <si>
    <r>
      <t xml:space="preserve">:  </t>
    </r>
    <r>
      <rPr>
        <b/>
        <sz val="9"/>
        <rFont val="Arial Narrow"/>
        <family val="2"/>
      </rPr>
      <t>SANGGUNIANG BAYAN OFFICE</t>
    </r>
  </si>
  <si>
    <r>
      <rPr>
        <sz val="9"/>
        <color indexed="10"/>
        <rFont val="Arial Narrow"/>
        <family val="2"/>
      </rPr>
      <t xml:space="preserve">* </t>
    </r>
    <r>
      <rPr>
        <sz val="9"/>
        <rFont val="Arial Narrow"/>
        <family val="2"/>
      </rPr>
      <t>Other Maintenance &amp; Operating Expenses (Additional JO)</t>
    </r>
  </si>
  <si>
    <t xml:space="preserve">     Information &amp; Communication Technology Equipt.</t>
  </si>
  <si>
    <r>
      <t xml:space="preserve">:  </t>
    </r>
    <r>
      <rPr>
        <b/>
        <sz val="8"/>
        <rFont val="Arial Narrow"/>
        <family val="2"/>
      </rPr>
      <t>SECRETARY TO THE SANGGUNIANG BAYAN OFFICE</t>
    </r>
  </si>
  <si>
    <r>
      <t xml:space="preserve">:  </t>
    </r>
    <r>
      <rPr>
        <b/>
        <sz val="9"/>
        <rFont val="Arial Narrow"/>
        <family val="2"/>
      </rPr>
      <t>MUNICIPAL ADMINISTRATOR'S OFFICE</t>
    </r>
  </si>
  <si>
    <r>
      <t xml:space="preserve">: </t>
    </r>
    <r>
      <rPr>
        <b/>
        <sz val="9"/>
        <rFont val="Arial Narrow"/>
        <family val="2"/>
      </rPr>
      <t xml:space="preserve"> Administrative Services</t>
    </r>
  </si>
  <si>
    <r>
      <t xml:space="preserve">:  </t>
    </r>
    <r>
      <rPr>
        <b/>
        <sz val="9"/>
        <rFont val="Arial Narrow"/>
        <family val="2"/>
      </rPr>
      <t>Administration and Management</t>
    </r>
  </si>
  <si>
    <r>
      <t xml:space="preserve">:  </t>
    </r>
    <r>
      <rPr>
        <b/>
        <sz val="9"/>
        <rFont val="Arial Narrow"/>
        <family val="2"/>
      </rPr>
      <t>HUMAN RESOURCE MANAGEMENT OFFICE</t>
    </r>
  </si>
  <si>
    <r>
      <t xml:space="preserve">: </t>
    </r>
    <r>
      <rPr>
        <b/>
        <sz val="9"/>
        <rFont val="Arial Narrow"/>
        <family val="2"/>
      </rPr>
      <t xml:space="preserve"> Personnel Management Services</t>
    </r>
  </si>
  <si>
    <r>
      <t xml:space="preserve">:  </t>
    </r>
    <r>
      <rPr>
        <b/>
        <sz val="9"/>
        <rFont val="Arial Narrow"/>
        <family val="2"/>
      </rPr>
      <t>Human Resource Management</t>
    </r>
  </si>
  <si>
    <t xml:space="preserve">           Other Bonuses and Allowances  </t>
  </si>
  <si>
    <r>
      <t xml:space="preserve">:  </t>
    </r>
    <r>
      <rPr>
        <b/>
        <sz val="9"/>
        <rFont val="Arial Narrow"/>
        <family val="2"/>
      </rPr>
      <t>MUN. PLANNING &amp; DEVELOPMENT OFFICE</t>
    </r>
  </si>
  <si>
    <r>
      <t xml:space="preserve">:  </t>
    </r>
    <r>
      <rPr>
        <b/>
        <sz val="9"/>
        <rFont val="Arial Narrow"/>
        <family val="2"/>
      </rPr>
      <t xml:space="preserve">Planning &amp; Research Services </t>
    </r>
  </si>
  <si>
    <r>
      <t xml:space="preserve">:  </t>
    </r>
    <r>
      <rPr>
        <b/>
        <sz val="9"/>
        <rFont val="Arial Narrow"/>
        <family val="2"/>
      </rPr>
      <t>Planning/Monitoring/Evaluation/ICT</t>
    </r>
    <r>
      <rPr>
        <sz val="9"/>
        <rFont val="Arial Narrow"/>
        <family val="2"/>
      </rPr>
      <t xml:space="preserve"> </t>
    </r>
  </si>
  <si>
    <r>
      <t xml:space="preserve">:  </t>
    </r>
    <r>
      <rPr>
        <b/>
        <sz val="9"/>
        <rFont val="Arial Narrow"/>
        <family val="2"/>
      </rPr>
      <t>MUNICIPAL CIVIL REGISTRAR'S OFFICE</t>
    </r>
  </si>
  <si>
    <r>
      <t xml:space="preserve">:  </t>
    </r>
    <r>
      <rPr>
        <b/>
        <sz val="9"/>
        <rFont val="Arial Narrow"/>
        <family val="2"/>
      </rPr>
      <t>Civil Registration Services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</t>
    </r>
  </si>
  <si>
    <r>
      <t xml:space="preserve">:  </t>
    </r>
    <r>
      <rPr>
        <b/>
        <sz val="9"/>
        <rFont val="Arial Narrow"/>
        <family val="2"/>
      </rPr>
      <t>Registration of Civil Status</t>
    </r>
    <r>
      <rPr>
        <sz val="9"/>
        <rFont val="Arial Narrow"/>
        <family val="2"/>
      </rPr>
      <t xml:space="preserve"> </t>
    </r>
  </si>
  <si>
    <r>
      <t xml:space="preserve">:  </t>
    </r>
    <r>
      <rPr>
        <b/>
        <sz val="9"/>
        <rFont val="Arial Narrow"/>
        <family val="2"/>
      </rPr>
      <t>MUNICIPAL GENERAL SERVICES OFFICE</t>
    </r>
  </si>
  <si>
    <r>
      <t xml:space="preserve">: </t>
    </r>
    <r>
      <rPr>
        <b/>
        <sz val="9"/>
        <rFont val="Arial Narrow"/>
        <family val="2"/>
      </rPr>
      <t xml:space="preserve"> General Services Management</t>
    </r>
  </si>
  <si>
    <r>
      <t xml:space="preserve">:  </t>
    </r>
    <r>
      <rPr>
        <b/>
        <sz val="9"/>
        <rFont val="Arial Narrow"/>
        <family val="2"/>
      </rPr>
      <t>Delivery of Basic Services and Provision of Adequate Facilities</t>
    </r>
  </si>
  <si>
    <r>
      <t xml:space="preserve">:  </t>
    </r>
    <r>
      <rPr>
        <b/>
        <sz val="9"/>
        <rFont val="Arial Narrow"/>
        <family val="2"/>
      </rPr>
      <t>MUNICIPAL BUDGET OFFICE</t>
    </r>
  </si>
  <si>
    <r>
      <t xml:space="preserve">:  </t>
    </r>
    <r>
      <rPr>
        <b/>
        <sz val="9"/>
        <rFont val="Arial Narrow"/>
        <family val="2"/>
      </rPr>
      <t xml:space="preserve">Budgeting and Appropriation Control Services </t>
    </r>
  </si>
  <si>
    <r>
      <t xml:space="preserve">:  </t>
    </r>
    <r>
      <rPr>
        <b/>
        <sz val="9"/>
        <rFont val="Arial Narrow"/>
        <family val="2"/>
      </rPr>
      <t>Preparation of Executive Budgets/Internal Control</t>
    </r>
  </si>
  <si>
    <r>
      <t xml:space="preserve">:  </t>
    </r>
    <r>
      <rPr>
        <b/>
        <sz val="9"/>
        <rFont val="Arial Narrow"/>
        <family val="2"/>
      </rPr>
      <t>MUNICIPAL ACCOUNTING OFFICE</t>
    </r>
  </si>
  <si>
    <r>
      <t xml:space="preserve">: </t>
    </r>
    <r>
      <rPr>
        <b/>
        <sz val="9"/>
        <rFont val="Arial Narrow"/>
        <family val="2"/>
      </rPr>
      <t xml:space="preserve"> Accounting &amp; Auditing Services</t>
    </r>
  </si>
  <si>
    <r>
      <t xml:space="preserve">:  </t>
    </r>
    <r>
      <rPr>
        <b/>
        <sz val="9"/>
        <rFont val="Arial Narrow"/>
        <family val="2"/>
      </rPr>
      <t>Safeguarding Books of Accounts</t>
    </r>
    <r>
      <rPr>
        <sz val="9"/>
        <rFont val="Arial Narrow"/>
        <family val="2"/>
      </rPr>
      <t xml:space="preserve"> </t>
    </r>
  </si>
  <si>
    <t xml:space="preserve">  Municipal Accountant </t>
  </si>
  <si>
    <r>
      <t xml:space="preserve">:  </t>
    </r>
    <r>
      <rPr>
        <b/>
        <sz val="9"/>
        <rFont val="Arial Narrow"/>
        <family val="2"/>
      </rPr>
      <t>MUNICIPAL TREASURER'S OFFICE</t>
    </r>
  </si>
  <si>
    <r>
      <t xml:space="preserve">: </t>
    </r>
    <r>
      <rPr>
        <b/>
        <sz val="9"/>
        <rFont val="Arial Narrow"/>
        <family val="2"/>
      </rPr>
      <t xml:space="preserve"> Treasury &amp; Disbursement Services</t>
    </r>
  </si>
  <si>
    <r>
      <t xml:space="preserve">:  </t>
    </r>
    <r>
      <rPr>
        <b/>
        <sz val="9"/>
        <rFont val="Arial Narrow"/>
        <family val="2"/>
      </rPr>
      <t>Collection of Taxes &amp; Disbursement of Funds</t>
    </r>
  </si>
  <si>
    <r>
      <t xml:space="preserve">:  </t>
    </r>
    <r>
      <rPr>
        <b/>
        <sz val="9"/>
        <rFont val="Arial Narrow"/>
        <family val="2"/>
      </rPr>
      <t>MUNICIPAL ASSESSOR'S OFFICE</t>
    </r>
  </si>
  <si>
    <r>
      <t xml:space="preserve">: </t>
    </r>
    <r>
      <rPr>
        <b/>
        <sz val="9"/>
        <rFont val="Arial Narrow"/>
        <family val="2"/>
      </rPr>
      <t xml:space="preserve"> Assessment for Taxation Purpose</t>
    </r>
  </si>
  <si>
    <r>
      <t xml:space="preserve">:  </t>
    </r>
    <r>
      <rPr>
        <b/>
        <sz val="9"/>
        <rFont val="Arial Narrow"/>
        <family val="2"/>
      </rPr>
      <t>Updating Taxation Rolls of Real Properties</t>
    </r>
  </si>
  <si>
    <r>
      <t xml:space="preserve">:  </t>
    </r>
    <r>
      <rPr>
        <b/>
        <sz val="9"/>
        <rFont val="Arial Narrow"/>
        <family val="2"/>
      </rPr>
      <t>CIRCUIT AUDIT UNIT (COA)</t>
    </r>
  </si>
  <si>
    <r>
      <t xml:space="preserve">:  </t>
    </r>
    <r>
      <rPr>
        <b/>
        <sz val="9"/>
        <rFont val="Arial Narrow"/>
        <family val="2"/>
      </rPr>
      <t xml:space="preserve">Auditing Services </t>
    </r>
  </si>
  <si>
    <r>
      <t xml:space="preserve">:  </t>
    </r>
    <r>
      <rPr>
        <b/>
        <sz val="9"/>
        <rFont val="Arial Narrow"/>
        <family val="2"/>
      </rPr>
      <t>Post Audit of All Financial Transactions</t>
    </r>
    <r>
      <rPr>
        <sz val="9"/>
        <rFont val="Arial Narrow"/>
        <family val="2"/>
      </rPr>
      <t xml:space="preserve"> </t>
    </r>
  </si>
  <si>
    <r>
      <t xml:space="preserve">:  </t>
    </r>
    <r>
      <rPr>
        <b/>
        <sz val="9"/>
        <rFont val="Arial Narrow"/>
        <family val="2"/>
      </rPr>
      <t>MUN. CIRCUIT TRIAL COURT (MCTC)</t>
    </r>
  </si>
  <si>
    <r>
      <t xml:space="preserve">: </t>
    </r>
    <r>
      <rPr>
        <b/>
        <sz val="9"/>
        <rFont val="Arial Narrow"/>
        <family val="2"/>
      </rPr>
      <t xml:space="preserve"> Adjudication Services</t>
    </r>
  </si>
  <si>
    <r>
      <t xml:space="preserve">:  </t>
    </r>
    <r>
      <rPr>
        <b/>
        <sz val="9"/>
        <rFont val="Arial Narrow"/>
        <family val="2"/>
      </rPr>
      <t>Administration of Justice</t>
    </r>
  </si>
  <si>
    <r>
      <t xml:space="preserve">:  </t>
    </r>
    <r>
      <rPr>
        <b/>
        <sz val="9"/>
        <rFont val="Arial Narrow"/>
        <family val="2"/>
      </rPr>
      <t>MARAMAG POLICE STATION (PNP)</t>
    </r>
  </si>
  <si>
    <r>
      <t xml:space="preserve">: </t>
    </r>
    <r>
      <rPr>
        <b/>
        <sz val="9"/>
        <rFont val="Arial Narrow"/>
        <family val="2"/>
      </rPr>
      <t xml:space="preserve"> Protection of Lives and Properties</t>
    </r>
  </si>
  <si>
    <r>
      <t xml:space="preserve">:  </t>
    </r>
    <r>
      <rPr>
        <b/>
        <sz val="9"/>
        <rFont val="Arial Narrow"/>
        <family val="2"/>
      </rPr>
      <t>MARAMAG FIRE STATION (BFP)</t>
    </r>
  </si>
  <si>
    <r>
      <t xml:space="preserve">:  </t>
    </r>
    <r>
      <rPr>
        <b/>
        <sz val="9"/>
        <rFont val="Arial Narrow"/>
        <family val="2"/>
      </rPr>
      <t>D I L G ( L G O O V )</t>
    </r>
  </si>
  <si>
    <r>
      <t xml:space="preserve">: </t>
    </r>
    <r>
      <rPr>
        <b/>
        <sz val="9"/>
        <rFont val="Arial Narrow"/>
        <family val="2"/>
      </rPr>
      <t xml:space="preserve"> Technical Supervision Over Local Gov't. Units</t>
    </r>
  </si>
  <si>
    <r>
      <t xml:space="preserve">:  </t>
    </r>
    <r>
      <rPr>
        <b/>
        <sz val="9"/>
        <rFont val="Arial Narrow"/>
        <family val="2"/>
      </rPr>
      <t>Technical Assistance in Local Governance</t>
    </r>
  </si>
  <si>
    <r>
      <t xml:space="preserve">:  </t>
    </r>
    <r>
      <rPr>
        <b/>
        <sz val="9"/>
        <rFont val="Arial Narrow"/>
        <family val="2"/>
      </rPr>
      <t>MUNICIPAL HEALTH OFFICE</t>
    </r>
  </si>
  <si>
    <r>
      <t xml:space="preserve">: </t>
    </r>
    <r>
      <rPr>
        <b/>
        <sz val="9"/>
        <rFont val="Arial Narrow"/>
        <family val="2"/>
      </rPr>
      <t xml:space="preserve"> General Health Services</t>
    </r>
  </si>
  <si>
    <r>
      <t xml:space="preserve">:  </t>
    </r>
    <r>
      <rPr>
        <b/>
        <sz val="9"/>
        <rFont val="Arial Narrow"/>
        <family val="2"/>
      </rPr>
      <t>Maternal, Child Care and Dental Services</t>
    </r>
  </si>
  <si>
    <t xml:space="preserve">        Repairs and Maint. - Machinery &amp; Equipt.</t>
  </si>
  <si>
    <t xml:space="preserve">        Repairs and Maint. - Transportation Equipt.</t>
  </si>
  <si>
    <t xml:space="preserve">        Other Maint. and Operating Expenses</t>
  </si>
  <si>
    <r>
      <t xml:space="preserve">:  </t>
    </r>
    <r>
      <rPr>
        <b/>
        <sz val="9"/>
        <rFont val="Arial Narrow"/>
        <family val="2"/>
      </rPr>
      <t>MUN. SOCIAL WELFARE &amp; DEV'T. OFFICE</t>
    </r>
  </si>
  <si>
    <r>
      <t xml:space="preserve">: </t>
    </r>
    <r>
      <rPr>
        <b/>
        <sz val="9"/>
        <rFont val="Arial Narrow"/>
        <family val="2"/>
      </rPr>
      <t xml:space="preserve"> General Social Services</t>
    </r>
  </si>
  <si>
    <r>
      <t xml:space="preserve">:  </t>
    </r>
    <r>
      <rPr>
        <b/>
        <sz val="9"/>
        <rFont val="Arial Narrow"/>
        <family val="2"/>
      </rPr>
      <t>Upliftment of the Living Condition of the Underprivileged</t>
    </r>
  </si>
  <si>
    <r>
      <t xml:space="preserve">:  </t>
    </r>
    <r>
      <rPr>
        <b/>
        <sz val="9"/>
        <rFont val="Arial Narrow"/>
        <family val="2"/>
      </rPr>
      <t>MUNICIPAL AGRICULTURE OFFICE</t>
    </r>
  </si>
  <si>
    <r>
      <t xml:space="preserve">: </t>
    </r>
    <r>
      <rPr>
        <b/>
        <sz val="9"/>
        <rFont val="Arial Narrow"/>
        <family val="2"/>
      </rPr>
      <t xml:space="preserve"> Agricultural Services</t>
    </r>
  </si>
  <si>
    <r>
      <t xml:space="preserve">:  </t>
    </r>
    <r>
      <rPr>
        <b/>
        <sz val="9"/>
        <rFont val="Arial Narrow"/>
        <family val="2"/>
      </rPr>
      <t>Delivery of Basic Agricultural Technology</t>
    </r>
  </si>
  <si>
    <t>Supp. to Integrated Fish Aquatic Resources &amp; Mngt.</t>
  </si>
  <si>
    <r>
      <t xml:space="preserve">:  </t>
    </r>
    <r>
      <rPr>
        <b/>
        <sz val="9"/>
        <rFont val="Arial Narrow"/>
        <family val="2"/>
      </rPr>
      <t>MUNICIPAL ENGINEER'S OFFICE</t>
    </r>
  </si>
  <si>
    <r>
      <t xml:space="preserve">: </t>
    </r>
    <r>
      <rPr>
        <b/>
        <sz val="9"/>
        <rFont val="Arial Narrow"/>
        <family val="2"/>
      </rPr>
      <t xml:space="preserve"> General Engineering Services</t>
    </r>
  </si>
  <si>
    <r>
      <t xml:space="preserve">:  </t>
    </r>
    <r>
      <rPr>
        <b/>
        <sz val="9"/>
        <rFont val="Arial Narrow"/>
        <family val="2"/>
      </rPr>
      <t>Const./Repair/Improvement of Gov't. Facilities &amp; Utilities</t>
    </r>
  </si>
  <si>
    <r>
      <t xml:space="preserve">Note: </t>
    </r>
    <r>
      <rPr>
        <sz val="9"/>
        <color indexed="10"/>
        <rFont val="Arial Narrow"/>
        <family val="2"/>
      </rPr>
      <t>*</t>
    </r>
    <r>
      <rPr>
        <sz val="9"/>
        <color indexed="17"/>
        <rFont val="Arial Narrow"/>
        <family val="2"/>
      </rPr>
      <t xml:space="preserve"> </t>
    </r>
    <r>
      <rPr>
        <sz val="9"/>
        <rFont val="Arial Narrow"/>
        <family val="2"/>
      </rPr>
      <t xml:space="preserve">Repair and Maintenance - Buildings and Other Structures </t>
    </r>
  </si>
  <si>
    <r>
      <rPr>
        <sz val="9"/>
        <color indexed="10"/>
        <rFont val="Arial Narrow"/>
        <family val="2"/>
      </rPr>
      <t xml:space="preserve">         *</t>
    </r>
    <r>
      <rPr>
        <sz val="9"/>
        <color indexed="17"/>
        <rFont val="Arial Narrow"/>
        <family val="2"/>
      </rPr>
      <t xml:space="preserve"> </t>
    </r>
    <r>
      <rPr>
        <sz val="9"/>
        <rFont val="Arial Narrow"/>
        <family val="2"/>
      </rPr>
      <t>Buildings -   500,000.00 - Construction of Composting Facility Building</t>
    </r>
  </si>
  <si>
    <r>
      <rPr>
        <sz val="9"/>
        <color indexed="10"/>
        <rFont val="Arial Narrow"/>
        <family val="2"/>
      </rPr>
      <t xml:space="preserve">         *</t>
    </r>
    <r>
      <rPr>
        <sz val="9"/>
        <color indexed="17"/>
        <rFont val="Arial Narrow"/>
        <family val="2"/>
      </rPr>
      <t xml:space="preserve"> </t>
    </r>
    <r>
      <rPr>
        <sz val="9"/>
        <rFont val="Arial Narrow"/>
        <family val="2"/>
      </rPr>
      <t>Other Land Improvements</t>
    </r>
  </si>
  <si>
    <r>
      <rPr>
        <sz val="9"/>
        <color indexed="10"/>
        <rFont val="Arial Narrow"/>
        <family val="2"/>
      </rPr>
      <t xml:space="preserve">         *</t>
    </r>
    <r>
      <rPr>
        <sz val="9"/>
        <color indexed="17"/>
        <rFont val="Arial Narrow"/>
        <family val="2"/>
      </rPr>
      <t xml:space="preserve"> </t>
    </r>
    <r>
      <rPr>
        <sz val="9"/>
        <rFont val="Arial Narrow"/>
        <family val="2"/>
      </rPr>
      <t>Construction in Progress - Buildings and Other Structures -  5,000,000.00  - Bagsakan ng Gulay</t>
    </r>
  </si>
  <si>
    <r>
      <t xml:space="preserve">:  </t>
    </r>
    <r>
      <rPr>
        <b/>
        <sz val="9"/>
        <rFont val="Arial Narrow"/>
        <family val="2"/>
      </rPr>
      <t>OFFICE OF THE BUILDING OFFICIAL</t>
    </r>
  </si>
  <si>
    <r>
      <t xml:space="preserve">: </t>
    </r>
    <r>
      <rPr>
        <b/>
        <sz val="9"/>
        <rFont val="Arial Narrow"/>
        <family val="2"/>
      </rPr>
      <t>SLAUGHTERHOUSE ENTERPRISE</t>
    </r>
  </si>
  <si>
    <r>
      <t xml:space="preserve">: </t>
    </r>
    <r>
      <rPr>
        <b/>
        <sz val="9"/>
        <rFont val="Arial Narrow"/>
        <family val="2"/>
      </rPr>
      <t xml:space="preserve"> Operation of Public Market, Bus Terminal and  Slaughterhouse</t>
    </r>
  </si>
  <si>
    <r>
      <t xml:space="preserve">: </t>
    </r>
    <r>
      <rPr>
        <b/>
        <sz val="9"/>
        <rFont val="Arial Narrow"/>
        <family val="2"/>
      </rPr>
      <t xml:space="preserve"> General Administration</t>
    </r>
  </si>
  <si>
    <r>
      <t>:</t>
    </r>
    <r>
      <rPr>
        <b/>
        <sz val="9"/>
        <rFont val="Arial Narrow"/>
        <family val="2"/>
      </rPr>
      <t xml:space="preserve">  Economic Enterprise</t>
    </r>
  </si>
  <si>
    <r>
      <t xml:space="preserve">:  </t>
    </r>
    <r>
      <rPr>
        <b/>
        <u/>
        <sz val="9"/>
        <rFont val="Arial Narrow"/>
        <family val="2"/>
      </rPr>
      <t>INTEGRATED LAND TRANSPORT TERMINAL ENTERPRISE</t>
    </r>
  </si>
  <si>
    <r>
      <t xml:space="preserve">:  </t>
    </r>
    <r>
      <rPr>
        <b/>
        <sz val="9"/>
        <rFont val="Arial Narrow"/>
        <family val="2"/>
      </rPr>
      <t>PUBLIC MARKET ENTERPRISE</t>
    </r>
  </si>
  <si>
    <t xml:space="preserve">         Internet Expense</t>
  </si>
  <si>
    <t xml:space="preserve">      Skills Training Programs</t>
  </si>
  <si>
    <t xml:space="preserve">     Community-Based Training</t>
  </si>
  <si>
    <t xml:space="preserve">     Competency Assessment</t>
  </si>
  <si>
    <t xml:space="preserve">     Scholarship</t>
  </si>
  <si>
    <t xml:space="preserve">        Representation Expense</t>
  </si>
  <si>
    <t>Trainings for ECTRACS Users-50,000.00</t>
  </si>
  <si>
    <t xml:space="preserve">Enhance Tax Revenue Assessment </t>
  </si>
  <si>
    <t>Fuel for Inspecton Tea (35,000.00)</t>
  </si>
  <si>
    <t xml:space="preserve">           Desktop Computer</t>
  </si>
  <si>
    <t xml:space="preserve">    Computer Software</t>
  </si>
  <si>
    <t>20,000.00 for Health &amp; Wellness</t>
  </si>
  <si>
    <t xml:space="preserve">             Sala Set</t>
  </si>
  <si>
    <t>Support to LGU Intranet-150,000.00 &amp; Computerization - 200,000.00</t>
  </si>
  <si>
    <t xml:space="preserve">        Repairs and Maint. - Buildings &amp; Other Sructure</t>
  </si>
  <si>
    <t>Difference</t>
  </si>
  <si>
    <t>Business Inspection /JIT</t>
  </si>
  <si>
    <t xml:space="preserve">        Repair &amp; Maintenance -Transportation Equipment</t>
  </si>
  <si>
    <t xml:space="preserve">        Other Supplies and Materials Expenses</t>
  </si>
  <si>
    <t>Laundry Services</t>
  </si>
  <si>
    <t>Meals &amp; Snacks for Visitors &amp; Overtime Services</t>
  </si>
  <si>
    <t xml:space="preserve">         Printing and Publication Expenses</t>
  </si>
  <si>
    <t xml:space="preserve">         Postage and Courier Services</t>
  </si>
  <si>
    <t xml:space="preserve">         Other Supplies and Materials Expenses</t>
  </si>
  <si>
    <t>FINANCIAL EXPENSES</t>
  </si>
  <si>
    <t xml:space="preserve">     Bank Charges</t>
  </si>
  <si>
    <t>5-03-01-040</t>
  </si>
  <si>
    <t>Meals for Barangay Health Worker Meeting</t>
  </si>
  <si>
    <t>Medico Legal</t>
  </si>
  <si>
    <t xml:space="preserve">            Audio System</t>
  </si>
  <si>
    <t>Municipal Registrar</t>
  </si>
  <si>
    <t>Financial Subsidy</t>
  </si>
  <si>
    <t>Technial Education and Skills Development Program</t>
  </si>
  <si>
    <t xml:space="preserve">           Executive Chair</t>
  </si>
  <si>
    <t xml:space="preserve">           Job Order Services</t>
  </si>
  <si>
    <t>State Auditor I - Acting Team Leader</t>
  </si>
  <si>
    <t>Fabrication of Traffic Signage</t>
  </si>
  <si>
    <t>Athletic and Cultural Activities</t>
  </si>
  <si>
    <t>Traveling Expenses</t>
  </si>
  <si>
    <t>Training Expenses</t>
  </si>
  <si>
    <t>Capital Outlay</t>
  </si>
  <si>
    <t xml:space="preserve">     </t>
  </si>
  <si>
    <t xml:space="preserve">     Traveling Expenses</t>
  </si>
  <si>
    <t xml:space="preserve">     Fuel, Oil, &amp; Lubricants Expenses</t>
  </si>
  <si>
    <t xml:space="preserve">     Other Supplies and Materials Expenses</t>
  </si>
  <si>
    <t xml:space="preserve">     Other Maintenance &amp; Operating Expenses</t>
  </si>
  <si>
    <t xml:space="preserve">          Meals and Snacks for Participants</t>
  </si>
  <si>
    <t xml:space="preserve">          Financial Subsidy</t>
  </si>
  <si>
    <t xml:space="preserve">          Miscellaneous Expenses</t>
  </si>
  <si>
    <t xml:space="preserve">                       and Working Committee</t>
  </si>
  <si>
    <t xml:space="preserve">                       and Meetings</t>
  </si>
  <si>
    <t>II. Support to Barangay Governance and Development Program</t>
  </si>
  <si>
    <r>
      <t xml:space="preserve">Office/Dept.  </t>
    </r>
    <r>
      <rPr>
        <b/>
        <sz val="9"/>
        <rFont val="Arial Narrow"/>
        <family val="2"/>
      </rPr>
      <t>:  NON-OFFICE</t>
    </r>
  </si>
  <si>
    <r>
      <t xml:space="preserve">Function       </t>
    </r>
    <r>
      <rPr>
        <b/>
        <sz val="9"/>
        <rFont val="Arial Narrow"/>
        <family val="2"/>
      </rPr>
      <t>:  Programs, Projects and Activities</t>
    </r>
  </si>
  <si>
    <r>
      <t xml:space="preserve">Project/Act.  </t>
    </r>
    <r>
      <rPr>
        <b/>
        <sz val="9"/>
        <rFont val="Arial Narrow"/>
        <family val="2"/>
      </rPr>
      <t>:  General Administration</t>
    </r>
  </si>
  <si>
    <r>
      <t xml:space="preserve">Fund          </t>
    </r>
    <r>
      <rPr>
        <b/>
        <sz val="9"/>
        <rFont val="Arial Narrow"/>
        <family val="2"/>
      </rPr>
      <t xml:space="preserve">  :  General Fund </t>
    </r>
  </si>
  <si>
    <t xml:space="preserve">    Membership Dues to Other Organization</t>
  </si>
  <si>
    <t xml:space="preserve">    Fuel, Oil, &amp; Lubricants Expenses</t>
  </si>
  <si>
    <t xml:space="preserve">    Office Supplies Expenses</t>
  </si>
  <si>
    <t xml:space="preserve">    Training Expenses</t>
  </si>
  <si>
    <t xml:space="preserve">    Traveling Expenses</t>
  </si>
  <si>
    <t xml:space="preserve">    Other Maintenance &amp; Operating Expenses</t>
  </si>
  <si>
    <t xml:space="preserve">     Printing &amp; Publication Expenses</t>
  </si>
  <si>
    <t xml:space="preserve">          Prizes</t>
  </si>
  <si>
    <t xml:space="preserve">      Printing &amp; Publication Expenses</t>
  </si>
  <si>
    <t xml:space="preserve">      Other Maintenance &amp; Operating Expenses</t>
  </si>
  <si>
    <t xml:space="preserve">          Meals and Snacks for Visitors</t>
  </si>
  <si>
    <t xml:space="preserve">          Meals and Snacks for Barangay</t>
  </si>
  <si>
    <t xml:space="preserve">                       Captain Meetings</t>
  </si>
  <si>
    <t xml:space="preserve">                       Meetings</t>
  </si>
  <si>
    <t xml:space="preserve">                       Record Keepers Meetings</t>
  </si>
  <si>
    <t>III. Support to Election Related Activities</t>
  </si>
  <si>
    <t xml:space="preserve">     Training Expenses</t>
  </si>
  <si>
    <t xml:space="preserve">      Office Supplies Expenses</t>
  </si>
  <si>
    <t xml:space="preserve">      Other Supplies &amp; Materials Expenses</t>
  </si>
  <si>
    <t xml:space="preserve">      Fuel, Oil, &amp; Lubricants Expenses</t>
  </si>
  <si>
    <t xml:space="preserve">          Meals and Snacks for Overtime &amp; Visitors</t>
  </si>
  <si>
    <t xml:space="preserve">          Job Order Services</t>
  </si>
  <si>
    <t>5-02-99-050</t>
  </si>
  <si>
    <t>V. Social Welfare and Development Programs</t>
  </si>
  <si>
    <t xml:space="preserve">      Printing and Publication Expenses</t>
  </si>
  <si>
    <t xml:space="preserve">          Meals and Snacks for Meetings </t>
  </si>
  <si>
    <t xml:space="preserve">               and Barangay Evaluation</t>
  </si>
  <si>
    <t xml:space="preserve">          Meals and Snacks for Children </t>
  </si>
  <si>
    <t xml:space="preserve">               Month's Celebration</t>
  </si>
  <si>
    <t xml:space="preserve">           Financial Subsidy</t>
  </si>
  <si>
    <t xml:space="preserve">Meals &amp; Snacks during Technical </t>
  </si>
  <si>
    <t xml:space="preserve">     Budget Hearing</t>
  </si>
  <si>
    <t>Hotel/Room Accomodation during</t>
  </si>
  <si>
    <t xml:space="preserve">      Technical  Budget Hearing</t>
  </si>
  <si>
    <t>Meals &amp; Snacks during Barangay</t>
  </si>
  <si>
    <t xml:space="preserve">     Budgeting</t>
  </si>
  <si>
    <t xml:space="preserve">      Barangay Budgeting</t>
  </si>
  <si>
    <t xml:space="preserve">           Maintenance and Operating Expenses</t>
  </si>
  <si>
    <t xml:space="preserve">        Financial Subsidy</t>
  </si>
  <si>
    <t xml:space="preserve">4.  Program for Persons with Disability </t>
  </si>
  <si>
    <t xml:space="preserve">     4.1 Support to Persons with Disability Activities</t>
  </si>
  <si>
    <t xml:space="preserve">     5.1 Support to DSWD's Convergence Program/ MIAC Activities</t>
  </si>
  <si>
    <t xml:space="preserve">   1.1   Health Governance Project</t>
  </si>
  <si>
    <t xml:space="preserve">             Maintenance and Operating Expenses</t>
  </si>
  <si>
    <t>Medical, Dental, &amp; Laboratory Supplies Expenses</t>
  </si>
  <si>
    <t>Fuel, Oil, &amp; Lubricants Expenses</t>
  </si>
  <si>
    <t xml:space="preserve">        Job Order Services</t>
  </si>
  <si>
    <t xml:space="preserve">        Safety Assistance</t>
  </si>
  <si>
    <t>2.  Support to Community Based HIV/AIDS Prevention and Care Services</t>
  </si>
  <si>
    <t xml:space="preserve">     4.1 Feeding Program and Other Nutrition Related Activities</t>
  </si>
  <si>
    <t xml:space="preserve">     4.3 Nutrition Month Celebration/ Culmination</t>
  </si>
  <si>
    <t xml:space="preserve">     4.4 Municipal Nutrition Council Conferences</t>
  </si>
  <si>
    <t>4. Municipal Nutrition Program</t>
  </si>
  <si>
    <t xml:space="preserve">         Other Maintenance and Operating Expenses</t>
  </si>
  <si>
    <t xml:space="preserve">                Special Program for Employment of Students (RA 7323)</t>
  </si>
  <si>
    <t>1. Hatud Serbisyo sa Barangay</t>
  </si>
  <si>
    <t xml:space="preserve">            Maintenance and Operating Expenses</t>
  </si>
  <si>
    <t xml:space="preserve">                   Other Supplies and Materials Expenses</t>
  </si>
  <si>
    <t xml:space="preserve">                   Other Maintenance &amp; Operating Expenses</t>
  </si>
  <si>
    <t xml:space="preserve">                            during Business Forum</t>
  </si>
  <si>
    <t>Maintenance and Other Operating Expenses</t>
  </si>
  <si>
    <t xml:space="preserve">     Office Supplies Expenses</t>
  </si>
  <si>
    <t xml:space="preserve">     Internet Subscription Expenses</t>
  </si>
  <si>
    <t xml:space="preserve">     Other Maintenance and Operating Expenses</t>
  </si>
  <si>
    <t xml:space="preserve">            Financial Subsidy</t>
  </si>
  <si>
    <t xml:space="preserve">          Maintenance and Operating Expenses</t>
  </si>
  <si>
    <t>Miscellaneous Expenses</t>
  </si>
  <si>
    <t xml:space="preserve">          Support to Cultural and Athletic Activities</t>
  </si>
  <si>
    <t xml:space="preserve">         Maintenance and Operating Expenses</t>
  </si>
  <si>
    <t xml:space="preserve">   1. Barangay Administrative Affairs</t>
  </si>
  <si>
    <t xml:space="preserve">           Promotion and Skills Development</t>
  </si>
  <si>
    <t xml:space="preserve">              Maintenance and Operating Expenses</t>
  </si>
  <si>
    <t xml:space="preserve">               Maintenance and Operating Expenses</t>
  </si>
  <si>
    <t xml:space="preserve">              </t>
  </si>
  <si>
    <t xml:space="preserve">         Fuel, Oil, &amp; Lubricants Expenses</t>
  </si>
  <si>
    <t xml:space="preserve">         Other Maintenance &amp; Operating Expenses</t>
  </si>
  <si>
    <t xml:space="preserve">               Meals &amp; Snacks for Drug Campaign and Symposia</t>
  </si>
  <si>
    <t xml:space="preserve">               Financial Subsidy</t>
  </si>
  <si>
    <t xml:space="preserve">         Traveling Expenses</t>
  </si>
  <si>
    <t xml:space="preserve">               Job Order Services</t>
  </si>
  <si>
    <t xml:space="preserve">               Prizes and Awards</t>
  </si>
  <si>
    <t xml:space="preserve">               Meals &amp; Snacks for Different Activities </t>
  </si>
  <si>
    <t xml:space="preserve">                    for Drug Prevention</t>
  </si>
  <si>
    <t xml:space="preserve">      Program</t>
  </si>
  <si>
    <t>3. Support to Population Development and Management</t>
  </si>
  <si>
    <t xml:space="preserve">          Fuel, Oil, &amp; Lubricants Expenses</t>
  </si>
  <si>
    <t xml:space="preserve">          Printing and Publication Expenses</t>
  </si>
  <si>
    <t xml:space="preserve">          Donations</t>
  </si>
  <si>
    <t xml:space="preserve">          Other Maintenance &amp; Operating Expenses</t>
  </si>
  <si>
    <t xml:space="preserve">               Meals &amp; Snacks during Meetings and</t>
  </si>
  <si>
    <t xml:space="preserve">                     Different Activities</t>
  </si>
  <si>
    <t xml:space="preserve">                 Training Expenses</t>
  </si>
  <si>
    <t xml:space="preserve">                 Printing &amp; Publication Expenses</t>
  </si>
  <si>
    <t xml:space="preserve">                Other Maintenance &amp; Operating Expenses</t>
  </si>
  <si>
    <t xml:space="preserve">                 Repair &amp; Maintenance-Machinery &amp; Equipment</t>
  </si>
  <si>
    <t xml:space="preserve">                 Other Maintenance &amp; Operating Expenses</t>
  </si>
  <si>
    <t xml:space="preserve">         Training Expenses</t>
  </si>
  <si>
    <t xml:space="preserve">         Medical, Dental, &amp; Laboratory Supplies Expenses</t>
  </si>
  <si>
    <t xml:space="preserve">             </t>
  </si>
  <si>
    <t xml:space="preserve">             Training Expenses</t>
  </si>
  <si>
    <t xml:space="preserve">             Office Supples Expenses</t>
  </si>
  <si>
    <t xml:space="preserve">             Other Maintenance &amp; Operating Expenses</t>
  </si>
  <si>
    <t xml:space="preserve">                  Job Order Services</t>
  </si>
  <si>
    <t xml:space="preserve">                Traveling Expenses</t>
  </si>
  <si>
    <t xml:space="preserve">                Training Expenses</t>
  </si>
  <si>
    <t xml:space="preserve">                Office Supplies Expenses</t>
  </si>
  <si>
    <t xml:space="preserve">                Other Supplies and Materials Expenses</t>
  </si>
  <si>
    <t xml:space="preserve">                     Meals and Snacks with Accomodation </t>
  </si>
  <si>
    <t xml:space="preserve">                     Meals and Snacks during Meetings</t>
  </si>
  <si>
    <t xml:space="preserve">                     Financial Subsidy</t>
  </si>
  <si>
    <t xml:space="preserve">    Maintenance and Operating Expenses</t>
  </si>
  <si>
    <t>III. HEALTH, NUTRITION AND SANITATION PROGRAM</t>
  </si>
  <si>
    <t>IV. SUPPORT TO PUBLIC EMPLOYMENT SERVICE AND INFORMATION</t>
  </si>
  <si>
    <t xml:space="preserve">          Office Supplies Expenses</t>
  </si>
  <si>
    <t xml:space="preserve">          Meals and Snacks for Barangay Councilmen</t>
  </si>
  <si>
    <t xml:space="preserve">          Meals and Snacks for Barangay Treasurer's</t>
  </si>
  <si>
    <t xml:space="preserve">          Meals and Snacks for Barangay Secretaries</t>
  </si>
  <si>
    <t xml:space="preserve">         Subsidy to National Government Agencies</t>
  </si>
  <si>
    <t>5-02-14-990</t>
  </si>
  <si>
    <t xml:space="preserve">              Financial Subsidy</t>
  </si>
  <si>
    <t xml:space="preserve">       Other Maintenance &amp; Operating Expenses</t>
  </si>
  <si>
    <t xml:space="preserve">        Office Supples Expenses</t>
  </si>
  <si>
    <t xml:space="preserve">        Other Maintenance &amp; Operating Expenses</t>
  </si>
  <si>
    <t xml:space="preserve">              Meals and Snacks during meetings </t>
  </si>
  <si>
    <t xml:space="preserve">              Meals and Snacks during Annual Evaluation</t>
  </si>
  <si>
    <t xml:space="preserve">       Traveling Expenses</t>
  </si>
  <si>
    <t xml:space="preserve">              Meals and Snacks during Annual Convention</t>
  </si>
  <si>
    <t xml:space="preserve">       Other Supplies and Materials Expenses</t>
  </si>
  <si>
    <t xml:space="preserve">       Medical, Dental, &amp; Laboratory Supplies Expenses</t>
  </si>
  <si>
    <t xml:space="preserve">             Financial Subsidy</t>
  </si>
  <si>
    <t xml:space="preserve">             Meals and Snacks during Malacologial Survey</t>
  </si>
  <si>
    <t xml:space="preserve">       Subsidy-Others</t>
  </si>
  <si>
    <t xml:space="preserve">       Training Expenses</t>
  </si>
  <si>
    <t xml:space="preserve">             Meals and Snacks during meetings </t>
  </si>
  <si>
    <t xml:space="preserve">             Meals and Snacks during World NO Tobacco Day</t>
  </si>
  <si>
    <t xml:space="preserve">       Fuel, Oil, &amp; Lubricants Expenses</t>
  </si>
  <si>
    <t xml:space="preserve">             Meals and Snacks for Quarterly meetings</t>
  </si>
  <si>
    <t xml:space="preserve">             Meals and Snacks during Water Testing and</t>
  </si>
  <si>
    <t xml:space="preserve">                        Water Safety Plan Formulation</t>
  </si>
  <si>
    <t xml:space="preserve">       Other Supplies &amp; Materials Expenses</t>
  </si>
  <si>
    <t xml:space="preserve">       Printing and Publication Expenses</t>
  </si>
  <si>
    <t xml:space="preserve">       Repair and Maintenance-Machinery &amp; Equipment</t>
  </si>
  <si>
    <t xml:space="preserve">             Hotel/Room Accomodation for Evaluators</t>
  </si>
  <si>
    <t xml:space="preserve">             Job Order Services</t>
  </si>
  <si>
    <t xml:space="preserve">       Office Supplies Expenses</t>
  </si>
  <si>
    <t xml:space="preserve">             Prizes</t>
  </si>
  <si>
    <t xml:space="preserve">             Meals and Snacks during Culmination</t>
  </si>
  <si>
    <t xml:space="preserve">                 Capital Outlay</t>
  </si>
  <si>
    <t xml:space="preserve">                      Office Supplies Expenses</t>
  </si>
  <si>
    <t xml:space="preserve">                      Printing and Publication Expenses</t>
  </si>
  <si>
    <t xml:space="preserve">                      Other Maintenance and Operating Expenses</t>
  </si>
  <si>
    <t xml:space="preserve">                                 Meals and Snacks for meetings, sessions and monitoring</t>
  </si>
  <si>
    <t xml:space="preserve">                      Information and Communication Technology Equipment</t>
  </si>
  <si>
    <t xml:space="preserve">        Medical, Dental and Laboratory Supplies Expenses</t>
  </si>
  <si>
    <t>CAPITAL OUTLAY</t>
  </si>
  <si>
    <t>Total Financial Expenses</t>
  </si>
  <si>
    <t>Financial Subsidy to Outstanding Taxpayers</t>
  </si>
  <si>
    <t xml:space="preserve">     and Collection System (ETRACS) Annual Registration</t>
  </si>
  <si>
    <t xml:space="preserve">                   Other Maintenance and Operating Expenses</t>
  </si>
  <si>
    <t xml:space="preserve">                          Financial Subsidy</t>
  </si>
  <si>
    <t xml:space="preserve">                          Prizes </t>
  </si>
  <si>
    <t xml:space="preserve">                          Meals and Snacks during Women's Month</t>
  </si>
  <si>
    <t xml:space="preserve">                    Printing and Publication Expenses</t>
  </si>
  <si>
    <t xml:space="preserve">            Capital Outlay</t>
  </si>
  <si>
    <t xml:space="preserve">                  Office Supplies Expenses</t>
  </si>
  <si>
    <t xml:space="preserve">                  Traveling Expenses</t>
  </si>
  <si>
    <t xml:space="preserve">                  Training Expenses</t>
  </si>
  <si>
    <t xml:space="preserve">                   Fuel, Oil, &amp; Lubricants Expenses</t>
  </si>
  <si>
    <t xml:space="preserve">                   Repair and Maintenance-Machinery and Equipment</t>
  </si>
  <si>
    <t xml:space="preserve">                         Job Order Services</t>
  </si>
  <si>
    <t xml:space="preserve">             Internet Subscription Expenses</t>
  </si>
  <si>
    <t>Maintenance and Operating Expenses</t>
  </si>
  <si>
    <t xml:space="preserve">       Other Maintenance and Operating Expenses</t>
  </si>
  <si>
    <t xml:space="preserve">                 Food Subsidy to 20 barangays</t>
  </si>
  <si>
    <t>2. Support to SK Federation</t>
  </si>
  <si>
    <t xml:space="preserve">     2.1 Summer League </t>
  </si>
  <si>
    <t xml:space="preserve">     2.2 Linggo ng Kabataan</t>
  </si>
  <si>
    <t xml:space="preserve">     2.4 SK Meetings</t>
  </si>
  <si>
    <t xml:space="preserve">                 Traveling Expenses</t>
  </si>
  <si>
    <t xml:space="preserve">       Maintenance and Operating Expenses</t>
  </si>
  <si>
    <t>Office Supplies Expenses</t>
  </si>
  <si>
    <t>Other Supplies and Materials Expenses</t>
  </si>
  <si>
    <t xml:space="preserve">       Financial Subsidy</t>
  </si>
  <si>
    <t xml:space="preserve">       Prizes</t>
  </si>
  <si>
    <t xml:space="preserve">       Meals and Snacks during Ips different activities</t>
  </si>
  <si>
    <t xml:space="preserve">                 Meals and Snacks during meetings &amp; hatud serbisyo</t>
  </si>
  <si>
    <t xml:space="preserve">            Prizes</t>
  </si>
  <si>
    <t xml:space="preserve">            Meals and Snacks during Linggo ng Kabataan</t>
  </si>
  <si>
    <t xml:space="preserve">          Meals and Snacks for Meetings</t>
  </si>
  <si>
    <t xml:space="preserve">                   Traveling Expenses</t>
  </si>
  <si>
    <t xml:space="preserve">                   Training Expenses</t>
  </si>
  <si>
    <t xml:space="preserve">                 Office Supplies Expenses</t>
  </si>
  <si>
    <t xml:space="preserve">                 Fuel, Oil, &amp; Lubricants Expenses</t>
  </si>
  <si>
    <t xml:space="preserve">                 Other Supplies &amp; Materials Expenses</t>
  </si>
  <si>
    <t>V.PRESERVATION AND ENRICHMENT OF CULTURE</t>
  </si>
  <si>
    <t>VI.SUPPORT TO BARANGAY GOVERNANCE AND DEVELOPMENT PROGRAM</t>
  </si>
  <si>
    <t xml:space="preserve">            Meals and Snacks during the League</t>
  </si>
  <si>
    <t xml:space="preserve">           Conference Table</t>
  </si>
  <si>
    <t>Hanging Cabinet</t>
  </si>
  <si>
    <t>Support to Adlaw ta Kalatungan Celebration as Host Mun.</t>
  </si>
  <si>
    <t xml:space="preserve">        Clean and Green Program (Gawad Pangulo sa Kapaligiran)</t>
  </si>
  <si>
    <t xml:space="preserve">                Meals &amp; Snacks during Quarterly Evaluation</t>
  </si>
  <si>
    <t xml:space="preserve">                Prizes and Awards for Healthy Barangay</t>
  </si>
  <si>
    <t>* includes Bantay Lasang, C&amp;G evaluators Hon., MAPOLS Hon., MTESDC Incentives</t>
  </si>
  <si>
    <t xml:space="preserve">           Desktop Computer w/ Complete Accessories</t>
  </si>
  <si>
    <t xml:space="preserve">     Plant and Trees</t>
  </si>
  <si>
    <t>1-08-01-020</t>
  </si>
  <si>
    <t>1-07-03-050</t>
  </si>
  <si>
    <t>Meals &amp; Snacks for different Activities</t>
  </si>
  <si>
    <t>Meals &amp; Snacks for Different Activities</t>
  </si>
  <si>
    <t xml:space="preserve">           13 units Desktop Computer</t>
  </si>
  <si>
    <t>Philippine Councilors League Week</t>
  </si>
  <si>
    <t xml:space="preserve">           Portable Generator</t>
  </si>
  <si>
    <t xml:space="preserve">            Meals and Snacks for different Activities</t>
  </si>
  <si>
    <t xml:space="preserve">        Rent/Lease Expenses</t>
  </si>
  <si>
    <t>Meals &amp; Snacks for different activities</t>
  </si>
  <si>
    <t xml:space="preserve">                  Meals and Snacks for different Activities</t>
  </si>
  <si>
    <t>Meals and Snacks for different Activities</t>
  </si>
  <si>
    <t>Payment for Septic Tank sucking</t>
  </si>
  <si>
    <t>*includes J.O. sa Plaza &amp; Parks</t>
  </si>
  <si>
    <t xml:space="preserve">        Fuel, Oil, &amp; Lubricants Expenses</t>
  </si>
  <si>
    <t>MLGOO</t>
  </si>
  <si>
    <t xml:space="preserve">             2 units Floor Mounted Aircon</t>
  </si>
  <si>
    <t>Cemetery, MRF</t>
  </si>
  <si>
    <t xml:space="preserve">       Support to PAMB Mt. Kalatungan Range Natural Park</t>
  </si>
  <si>
    <t>Meals &amp; Snacks during Preliminary</t>
  </si>
  <si>
    <t xml:space="preserve">Hotel Accomodation </t>
  </si>
  <si>
    <t>Hotel Accomodation</t>
  </si>
  <si>
    <t>includes team building</t>
  </si>
  <si>
    <t xml:space="preserve">             - Monetization</t>
  </si>
  <si>
    <t xml:space="preserve">              Sala Set</t>
  </si>
  <si>
    <t>Function Hall payment for seminars</t>
  </si>
  <si>
    <t>Municipal Administrator</t>
  </si>
  <si>
    <t>Meals and Snacks during Barangay SGLG</t>
  </si>
  <si>
    <t>Hosting Subscription Payment</t>
  </si>
  <si>
    <t xml:space="preserve">          Meals and Snacks for different activities</t>
  </si>
  <si>
    <t xml:space="preserve">   2. Law &amp; Order and Public Safety</t>
  </si>
  <si>
    <t xml:space="preserve">     2.1 Peace and Order Program</t>
  </si>
  <si>
    <t xml:space="preserve">         Support to Bantay Bayan Operations</t>
  </si>
  <si>
    <t xml:space="preserve">          Meals and Snacks during meetings</t>
  </si>
  <si>
    <t xml:space="preserve">     2.2 Support to Municipal Peace and Order</t>
  </si>
  <si>
    <t xml:space="preserve">    Other Supplies and Materials Expenses</t>
  </si>
  <si>
    <t xml:space="preserve">     2.3 Support to Other Peace and Order Program Activities</t>
  </si>
  <si>
    <t xml:space="preserve">         Anti-Insurgency Program</t>
  </si>
  <si>
    <t xml:space="preserve">     2.4 People's Law Enforcement Board</t>
  </si>
  <si>
    <t xml:space="preserve">     2.5 Support to Maramag Municipal Jail</t>
  </si>
  <si>
    <t xml:space="preserve">    Printing and Publication Expenses</t>
  </si>
  <si>
    <t xml:space="preserve">    Repair and Maitenance-Transportation Equipment</t>
  </si>
  <si>
    <t xml:space="preserve">          National Correctional Consciousness Week</t>
  </si>
  <si>
    <t xml:space="preserve">    Fuel. Oil and Lubricants Expenses</t>
  </si>
  <si>
    <t xml:space="preserve">            Job Order Services</t>
  </si>
  <si>
    <t xml:space="preserve">      Telephone Expenses</t>
  </si>
  <si>
    <t xml:space="preserve">      Repair and Maintenance-Transportation Equipment</t>
  </si>
  <si>
    <t xml:space="preserve">         Repair and Maintenance-Transportation Equipment</t>
  </si>
  <si>
    <t>Formulation of Municipal Tourism Plan</t>
  </si>
  <si>
    <t>I.Preservation and Enrichment of Culture</t>
  </si>
  <si>
    <t xml:space="preserve">          Medical, Dental, Laboratory Supplies Expenses</t>
  </si>
  <si>
    <t xml:space="preserve">          Other Supplies and Materials Expenses</t>
  </si>
  <si>
    <t xml:space="preserve">          Internet Subsription Expenses</t>
  </si>
  <si>
    <t xml:space="preserve">              Meals for Children at Bahay Pag-Asa</t>
  </si>
  <si>
    <t xml:space="preserve">              Job Order Services</t>
  </si>
  <si>
    <t xml:space="preserve">                          Meals and Snacks during Provincial Women's Summit</t>
  </si>
  <si>
    <t xml:space="preserve">                    Fuel, Oil &amp; Lubricants Expenses</t>
  </si>
  <si>
    <t xml:space="preserve">                          Meals and Snacks during Assessment</t>
  </si>
  <si>
    <t xml:space="preserve">                         Meals &amp; Snacks during Year-end Assessment</t>
  </si>
  <si>
    <t xml:space="preserve">                 Internet Subscription Expenses</t>
  </si>
  <si>
    <t xml:space="preserve">                  Rent/Lease Expenses</t>
  </si>
  <si>
    <t xml:space="preserve">                       Financial Subsidy for BSPO</t>
  </si>
  <si>
    <t xml:space="preserve">                       Financial Subsidy for Pre-Marriage Counseling</t>
  </si>
  <si>
    <t xml:space="preserve">                       Meals &amp; Snacks for Dfferent Activities</t>
  </si>
  <si>
    <t xml:space="preserve">                       Hotel Accommodation for Visitors</t>
  </si>
  <si>
    <t xml:space="preserve">                   Information and Communication Technology</t>
  </si>
  <si>
    <t xml:space="preserve">                          1 unit Laptop</t>
  </si>
  <si>
    <t xml:space="preserve">                   Printing and Publication Expenses</t>
  </si>
  <si>
    <t xml:space="preserve">                   Rent/Lease Expenses</t>
  </si>
  <si>
    <t xml:space="preserve">                         Meals and Snacks for different activities</t>
  </si>
  <si>
    <t xml:space="preserve">                         Repair of Wheelchairs</t>
  </si>
  <si>
    <t xml:space="preserve">                  Other Supplies and Materials Expenses</t>
  </si>
  <si>
    <t xml:space="preserve">                  Other Maintenance and Operating Expenses</t>
  </si>
  <si>
    <t xml:space="preserve">                         Prizes</t>
  </si>
  <si>
    <t xml:space="preserve">                         Meals and Snacks</t>
  </si>
  <si>
    <t xml:space="preserve">                      Other Supplies and Materials Expenses</t>
  </si>
  <si>
    <t>II. Other Personnel Benefits (CNA)</t>
  </si>
  <si>
    <t>III. Honoraria (BAC)</t>
  </si>
  <si>
    <t>5-01-02-100</t>
  </si>
  <si>
    <t>Repair and Maintenance-Machinery &amp; Equipment</t>
  </si>
  <si>
    <t xml:space="preserve">        Meals &amp; Snacks during Immunization and meetings</t>
  </si>
  <si>
    <t xml:space="preserve">        Hotel/Room Accomodation for evaluators during National</t>
  </si>
  <si>
    <t xml:space="preserve">               Immunization Program Evaluation and meetings</t>
  </si>
  <si>
    <t xml:space="preserve">        Fuel, Oil &amp; Lubricants Expenses</t>
  </si>
  <si>
    <t xml:space="preserve">       Fuel, Oil &amp; Lubricants Expenses</t>
  </si>
  <si>
    <t xml:space="preserve">              Hotel/Room Accommodation</t>
  </si>
  <si>
    <t xml:space="preserve">              Meals and Snacks during meetings and No to LRD Celebration</t>
  </si>
  <si>
    <t xml:space="preserve">               Meals and Snacks during monthly meeting</t>
  </si>
  <si>
    <t xml:space="preserve">               Year-end meeting and Assessment</t>
  </si>
  <si>
    <t xml:space="preserve">             Fuel, Oil &amp; Lubricants Expenses</t>
  </si>
  <si>
    <t xml:space="preserve">        Maintenance and Operating Expenses</t>
  </si>
  <si>
    <t xml:space="preserve">             Other Supplies and Materials Expenses</t>
  </si>
  <si>
    <t xml:space="preserve">                  Job Order Services (Fogger)</t>
  </si>
  <si>
    <t xml:space="preserve">                  Meals &amp; Snacks during meeting and Search &amp; Destroy Act.</t>
  </si>
  <si>
    <t xml:space="preserve">             Hotel/Room Accommodation for evaluators</t>
  </si>
  <si>
    <t xml:space="preserve">             Water Laboratory Examination Expenses</t>
  </si>
  <si>
    <t xml:space="preserve">             Meals &amp; Snacks for different activities</t>
  </si>
  <si>
    <t xml:space="preserve">             Supplementary Feeding for Pregnant &amp; Pre-School</t>
  </si>
  <si>
    <t xml:space="preserve">            Meals and Snacks for meetings</t>
  </si>
  <si>
    <t>Fuel, Oil &amp; Lubricants Expenses</t>
  </si>
  <si>
    <t xml:space="preserve">  Training Expenses</t>
  </si>
  <si>
    <t xml:space="preserve">   Traveling Expenses</t>
  </si>
  <si>
    <t xml:space="preserve">           Meals during Meeting</t>
  </si>
  <si>
    <t xml:space="preserve">   1.2   Birthing Home Operation and Services</t>
  </si>
  <si>
    <t xml:space="preserve">   1.3   Barangay Health Workers</t>
  </si>
  <si>
    <t xml:space="preserve">   1.4   Southern Bukidnon Inter-Local Health Zone</t>
  </si>
  <si>
    <t xml:space="preserve">   1.5   Support to Local Health Board Operation</t>
  </si>
  <si>
    <t xml:space="preserve">   1.6   Support to Diabetes Club</t>
  </si>
  <si>
    <t xml:space="preserve">   1.7   Schistosomiasis and Malaria Control Program</t>
  </si>
  <si>
    <t xml:space="preserve">   1.8 Support to Mental Health Program</t>
  </si>
  <si>
    <t xml:space="preserve">   1.9 Support to Smoking Cessation</t>
  </si>
  <si>
    <t xml:space="preserve">   1.10 Support to Prevention of Lifestyle Diseases</t>
  </si>
  <si>
    <t xml:space="preserve">   1.11 Support to Barangay Sanitary Inspectors</t>
  </si>
  <si>
    <t xml:space="preserve">   1.12 Support to the Teen Center</t>
  </si>
  <si>
    <t xml:space="preserve">   1.13 Vector Borne Control Program</t>
  </si>
  <si>
    <t>1. Collective Negotation Agreement (CNA)</t>
  </si>
  <si>
    <t xml:space="preserve">                  Municipal Administrator                            Municipal Budget Officer                                     Municipal Mayor</t>
  </si>
  <si>
    <t xml:space="preserve">          Meals and snacks during meetings</t>
  </si>
  <si>
    <r>
      <t xml:space="preserve">:  </t>
    </r>
    <r>
      <rPr>
        <b/>
        <sz val="9"/>
        <rFont val="Arial Narrow"/>
        <family val="2"/>
      </rPr>
      <t>MUNICIPAL VICE MAYOR'S OFFICE</t>
    </r>
  </si>
  <si>
    <r>
      <t xml:space="preserve">:  </t>
    </r>
    <r>
      <rPr>
        <b/>
        <sz val="8"/>
        <rFont val="Arial Narrow"/>
        <family val="2"/>
      </rPr>
      <t>MUNICIPAL ENVIRONMENT AND NATURAL RESOURCES OFFICE</t>
    </r>
  </si>
  <si>
    <t xml:space="preserve">    Repair and Maitenance-Building &amp; Other Structures</t>
  </si>
  <si>
    <t>1-07-01-010</t>
  </si>
  <si>
    <t xml:space="preserve">        Subsidy to General Fund Proper/Special Acct.</t>
  </si>
  <si>
    <t>5-02-14-070</t>
  </si>
  <si>
    <t xml:space="preserve">    Power Supply Systems</t>
  </si>
  <si>
    <t xml:space="preserve">         2 units Desktop Computer with printer</t>
  </si>
  <si>
    <t>4. Service Recognition Incentives</t>
  </si>
  <si>
    <t xml:space="preserve">         Office Supplies Expenses</t>
  </si>
  <si>
    <t xml:space="preserve">              Capital Outlay</t>
  </si>
  <si>
    <t>I. SOCIAL WELFARE AND DEVELOPMENT PROGRAMS</t>
  </si>
  <si>
    <t xml:space="preserve">   2.  Women Welfare Program</t>
  </si>
  <si>
    <t xml:space="preserve">        2.1  Maramag Women in Government Service</t>
  </si>
  <si>
    <t>.</t>
  </si>
  <si>
    <t xml:space="preserve">        2.2  Women's Month Celebration</t>
  </si>
  <si>
    <t xml:space="preserve">          Other Maintenance and Operating Expenses</t>
  </si>
  <si>
    <t xml:space="preserve">        2.3  Maramag Women Federation</t>
  </si>
  <si>
    <t xml:space="preserve">     4.2 Sports Activity</t>
  </si>
  <si>
    <t xml:space="preserve">     4.3 National PARA Games</t>
  </si>
  <si>
    <t xml:space="preserve">     4.4 Year-end Assessment</t>
  </si>
  <si>
    <t xml:space="preserve">       4.4.1 National Disability Week</t>
  </si>
  <si>
    <t xml:space="preserve">       4.4.2 Socialization</t>
  </si>
  <si>
    <t>1. Program for the Tribal Group/IP</t>
  </si>
  <si>
    <t xml:space="preserve">   1. Investment Promotion</t>
  </si>
  <si>
    <r>
      <t xml:space="preserve">       </t>
    </r>
    <r>
      <rPr>
        <sz val="8"/>
        <rFont val="Arial Narrow"/>
        <family val="2"/>
      </rPr>
      <t>Maintenance and Operating Expenses</t>
    </r>
  </si>
  <si>
    <t xml:space="preserve">            1 unit Detachable tablet/laptop w/ accessories</t>
  </si>
  <si>
    <t>Local Economic Enterprise Council activities</t>
  </si>
  <si>
    <t>Raffle Bonanza to 20 barangays</t>
  </si>
  <si>
    <t xml:space="preserve">            Steel Cabinet</t>
  </si>
  <si>
    <t xml:space="preserve">     Communication Equipment</t>
  </si>
  <si>
    <t>1-07-05-070</t>
  </si>
  <si>
    <t>BAC</t>
  </si>
  <si>
    <t>Prizes for Plant Plant Plant Program</t>
  </si>
  <si>
    <t>LO-III/OIC-Municipal Agriculturist</t>
  </si>
  <si>
    <t>PROGRAM/ PROJECT/ ACTIVITY</t>
  </si>
  <si>
    <t>SOCIAL DEVELOPMENT</t>
  </si>
  <si>
    <t>1. Purchase and Development of Land for the Relocation</t>
  </si>
  <si>
    <t xml:space="preserve">         Gymnasium (Astrodome) at Panadtalan</t>
  </si>
  <si>
    <t>ECONOMIC DEVELOPMENT</t>
  </si>
  <si>
    <t xml:space="preserve">1.0 Rehabilitation of Municipal Roads and Drainages </t>
  </si>
  <si>
    <t xml:space="preserve">      1.1 Rehabilitation of Municipal Roads and </t>
  </si>
  <si>
    <t xml:space="preserve">           Drainages at North and South Poblacion (34.0km.)</t>
  </si>
  <si>
    <t xml:space="preserve">             Poblacion</t>
  </si>
  <si>
    <t>3.0 Rehabilitation of Local Roads (Farm-to-Market Roads)</t>
  </si>
  <si>
    <t xml:space="preserve">     3.1. Rehabilitation of DAR-ADB Farm-to-Market Roads</t>
  </si>
  <si>
    <t xml:space="preserve">   and Bridges </t>
  </si>
  <si>
    <t xml:space="preserve">            3.1.1 Kiawal FMR </t>
  </si>
  <si>
    <t xml:space="preserve">            3.1.2 Mapait-Malonglong FMR</t>
  </si>
  <si>
    <t xml:space="preserve">            3.1.3 Crossing San Ramon-Maupa-Banban FMR</t>
  </si>
  <si>
    <t xml:space="preserve">     3.2 Rehabilitation of DAR-MinSSAD Farm-to-Market</t>
  </si>
  <si>
    <t xml:space="preserve">         Roads and Bridges</t>
  </si>
  <si>
    <t xml:space="preserve">            3.2.1 Lower Magsaysay-Basin FMR</t>
  </si>
  <si>
    <t xml:space="preserve">            3.2.2 Upper Magsaysay-Lower Magsaysay FMR</t>
  </si>
  <si>
    <t xml:space="preserve">            3.2.3 Panalsalan-Sitio Pualas FMR </t>
  </si>
  <si>
    <t xml:space="preserve">            3.2.4 Dagumbaan-Bantayan FMR </t>
  </si>
  <si>
    <t xml:space="preserve">            3.2.5 Dagumbaan-Panalsalan FMR</t>
  </si>
  <si>
    <t>4.0 Amortization of Loan used to Finance Development Proj.</t>
  </si>
  <si>
    <t xml:space="preserve">     4.2 Building Loan with Land Bank of the Philippines</t>
  </si>
  <si>
    <t xml:space="preserve">     4.4 Concreting of Municipal Sts. (Omnibus Term </t>
  </si>
  <si>
    <t xml:space="preserve">                   Loan w/LBP)</t>
  </si>
  <si>
    <t>ENVIRONMENTAL MANAGEMENT</t>
  </si>
  <si>
    <t xml:space="preserve">1.0 Reforestation and Urban Greening (20 Barangays)                                              </t>
  </si>
  <si>
    <t xml:space="preserve">2.0 Construction of Sanitary Landfill at Sabacan, Panadtalan, </t>
  </si>
  <si>
    <t xml:space="preserve">   Maramag, Bukidnon (Phase IV)</t>
  </si>
  <si>
    <t xml:space="preserve">       Panadtalan,</t>
  </si>
  <si>
    <t xml:space="preserve">            South Poblacion</t>
  </si>
  <si>
    <t xml:space="preserve">           and Canals)</t>
  </si>
  <si>
    <t xml:space="preserve">                           Reviewed: </t>
  </si>
  <si>
    <t xml:space="preserve">          Approved:</t>
  </si>
  <si>
    <t>Account Code</t>
  </si>
  <si>
    <r>
      <t xml:space="preserve">Office :  </t>
    </r>
    <r>
      <rPr>
        <b/>
        <u/>
        <sz val="8"/>
        <rFont val="Tahoma"/>
        <family val="2"/>
      </rPr>
      <t>NON-OFFICE (20% LOCAL DEVELOPMENT FUND)</t>
    </r>
  </si>
  <si>
    <t xml:space="preserve">                 Approved:</t>
  </si>
  <si>
    <t>30% QUICK RESPONSE FUND</t>
  </si>
  <si>
    <t xml:space="preserve">70% DISASTER PREPAREDNESS FUND </t>
  </si>
  <si>
    <t>PREVENTION AND MITIGATION</t>
  </si>
  <si>
    <t xml:space="preserve">    with disaster risk reduction and management/CCA indicators</t>
  </si>
  <si>
    <t>DISASTER PREPAREDNESS (Pre-Disaster)</t>
  </si>
  <si>
    <t xml:space="preserve">       search, rescue and retrieval operations</t>
  </si>
  <si>
    <t xml:space="preserve">            (IEC) campaign and information sharing between LGUs/</t>
  </si>
  <si>
    <t xml:space="preserve">            communities and the national government</t>
  </si>
  <si>
    <t xml:space="preserve">            system (EWS), information sharing among LGUs/</t>
  </si>
  <si>
    <t>DISASTER RESPONSE (During Disasters)</t>
  </si>
  <si>
    <r>
      <t xml:space="preserve">Office :  </t>
    </r>
    <r>
      <rPr>
        <b/>
        <u/>
        <sz val="8"/>
        <rFont val="Tahoma"/>
        <family val="2"/>
      </rPr>
      <t>NON-OFFICE (5% MUNICIPAL DISASTER RISK REDUCTION AND MANAGEMENT FUND)</t>
    </r>
  </si>
  <si>
    <t xml:space="preserve">DISASTER REHABILITATION AND RECOVERY   </t>
  </si>
  <si>
    <t xml:space="preserve">                   (Post-Disaster)</t>
  </si>
  <si>
    <t xml:space="preserve">                    Reviewed:           </t>
  </si>
  <si>
    <t xml:space="preserve">               Prepared: </t>
  </si>
  <si>
    <t xml:space="preserve">                               Approved:</t>
  </si>
  <si>
    <t xml:space="preserve">    to Barangays </t>
  </si>
  <si>
    <t xml:space="preserve">    Maintenance and Other Operating Expenses</t>
  </si>
  <si>
    <t xml:space="preserve">      Other Supplies and Materials Expenses</t>
  </si>
  <si>
    <t xml:space="preserve">      Other Maintenance and Operating Expenses</t>
  </si>
  <si>
    <t xml:space="preserve">              Maintenance and Other Operating Expenses</t>
  </si>
  <si>
    <t xml:space="preserve">                  Fuel, Oil &amp; Lubricants Expenses</t>
  </si>
  <si>
    <t xml:space="preserve">                  Other Maintenance &amp; Operating Expenses</t>
  </si>
  <si>
    <t xml:space="preserve">                      Food and Room Accommodation</t>
  </si>
  <si>
    <t xml:space="preserve">                      Meals and Snacks during conduct of IEC</t>
  </si>
  <si>
    <t xml:space="preserve">                  Computer Software</t>
  </si>
  <si>
    <t xml:space="preserve">                     Purchase Emergency Text Messaging Alert System Software</t>
  </si>
  <si>
    <t xml:space="preserve">                  Repair and Maintenance - Machinery and Equipment</t>
  </si>
  <si>
    <t xml:space="preserve">                     Installation of Early Warning devices/signages</t>
  </si>
  <si>
    <t xml:space="preserve">                  Medical, Dental, Laboratory Supplies Expenses</t>
  </si>
  <si>
    <t xml:space="preserve">                     Purchase of PPEs</t>
  </si>
  <si>
    <t xml:space="preserve">    floods risk</t>
  </si>
  <si>
    <t xml:space="preserve">          MDRRM Office Operation</t>
  </si>
  <si>
    <t xml:space="preserve">                  Repair and Maintenance - Transportation and Equipment</t>
  </si>
  <si>
    <r>
      <t xml:space="preserve">Office :  </t>
    </r>
    <r>
      <rPr>
        <b/>
        <u/>
        <sz val="10"/>
        <rFont val="Tahoma"/>
        <family val="2"/>
      </rPr>
      <t>NON-OFFICE (CONTRACTUAL AND STATUTORY OBLIGATIONS)</t>
    </r>
  </si>
  <si>
    <t>BARANGAY DEVELOPMENT FUND</t>
  </si>
  <si>
    <t>ACCOUNT CODE</t>
  </si>
  <si>
    <t xml:space="preserve">    Capital Outlay</t>
  </si>
  <si>
    <t>5. Support to COVID-19 Related Program, Projects &amp; Activities (P/P/As)</t>
  </si>
  <si>
    <t xml:space="preserve">             Purchase of Personal Protective Equipment (PPEs)</t>
  </si>
  <si>
    <t xml:space="preserve">       Medical, Dental and Laboratory Supplies Expenses</t>
  </si>
  <si>
    <t xml:space="preserve">             Food and accommodation of personnel involved in </t>
  </si>
  <si>
    <t xml:space="preserve">                  COVID-19 PPAs Implementation</t>
  </si>
  <si>
    <t xml:space="preserve">             Food assistance and other relief goods for affected households</t>
  </si>
  <si>
    <t xml:space="preserve">             Accommodation for LSI and other persons under </t>
  </si>
  <si>
    <t xml:space="preserve">                     monitoring and investigation</t>
  </si>
  <si>
    <t xml:space="preserve">       Repair and Maintenance - Buildings and Other Structure</t>
  </si>
  <si>
    <t xml:space="preserve">       Training Expensses</t>
  </si>
  <si>
    <t xml:space="preserve">             Other necessary COVID-19 related PPAs and expenses</t>
  </si>
  <si>
    <t xml:space="preserve">                                   1 set Computer Desktop Printer</t>
  </si>
  <si>
    <t xml:space="preserve">            1 unit Laptop</t>
  </si>
  <si>
    <t xml:space="preserve">           Rreviewed: </t>
  </si>
  <si>
    <t xml:space="preserve">   Approved:</t>
  </si>
  <si>
    <t xml:space="preserve">5.0 Capital expenditures related to the implementation of livelihood </t>
  </si>
  <si>
    <t xml:space="preserve">      or entrepreneurship local economic development projects</t>
  </si>
  <si>
    <t xml:space="preserve">     Reviewed: </t>
  </si>
  <si>
    <t xml:space="preserve">      Traveling Expenses</t>
  </si>
  <si>
    <t xml:space="preserve">      Medical, Dental and Laboratory Supplies Expenses</t>
  </si>
  <si>
    <t xml:space="preserve">          Procurement of PPEs</t>
  </si>
  <si>
    <t xml:space="preserve">                  Advertising Expenses</t>
  </si>
  <si>
    <t xml:space="preserve">                      Meals and Snacks </t>
  </si>
  <si>
    <t xml:space="preserve">          Meals and Snacks and Accommodation</t>
  </si>
  <si>
    <t xml:space="preserve">   of Informal Settlers and Relocation of Victims of Calamities</t>
  </si>
  <si>
    <t xml:space="preserve">               Conduct of Drug Abuse Prevention Control</t>
  </si>
  <si>
    <t>1-07-03-040</t>
  </si>
  <si>
    <t>1-07-03-010</t>
  </si>
  <si>
    <t>1-07-03-990</t>
  </si>
  <si>
    <t>1-07-03-020</t>
  </si>
  <si>
    <t xml:space="preserve">          3 units Desktop Computer w/ Printer</t>
  </si>
  <si>
    <t xml:space="preserve">           1 Unit 4x4 Pick-up Truck with Dbox</t>
  </si>
  <si>
    <t xml:space="preserve">           3 units Computer w/ Printer</t>
  </si>
  <si>
    <t xml:space="preserve">           Photocopier (Additional Funding)</t>
  </si>
  <si>
    <t xml:space="preserve">             Cabinet</t>
  </si>
  <si>
    <t xml:space="preserve">             Airconditioner</t>
  </si>
  <si>
    <t xml:space="preserve">        Repair &amp; Maintenance -Machinery &amp; Equipment</t>
  </si>
  <si>
    <t xml:space="preserve">           2 units Manage Switch 16 port</t>
  </si>
  <si>
    <t xml:space="preserve">           1 Unit Single Motor</t>
  </si>
  <si>
    <t xml:space="preserve">           1 unit Multi-Function Printer/Copier/Scanner</t>
  </si>
  <si>
    <t xml:space="preserve">           1 unit Printer</t>
  </si>
  <si>
    <t xml:space="preserve">           1 unit Heavy Duty Printer (Stickering)</t>
  </si>
  <si>
    <t xml:space="preserve">           Heavy Duty Tent (Fabrication)</t>
  </si>
  <si>
    <t xml:space="preserve">           Presidential Table and Chairs</t>
  </si>
  <si>
    <t xml:space="preserve">           2 units Anti-Septic Odor Eliminator (Water based)</t>
  </si>
  <si>
    <t xml:space="preserve">            HORIBA Water Sampling Device/Water Quality Meters</t>
  </si>
  <si>
    <t xml:space="preserve">              2 units Laptop</t>
  </si>
  <si>
    <t xml:space="preserve">             1 unit Fiber Glass Ladder (20-30ft)</t>
  </si>
  <si>
    <t>Increase rate from 368 to 414.00</t>
  </si>
  <si>
    <t xml:space="preserve">              2 units Laptop </t>
  </si>
  <si>
    <t xml:space="preserve">           2 units Motorcycle</t>
  </si>
  <si>
    <t xml:space="preserve">          4 shelves and 2 cabinets</t>
  </si>
  <si>
    <t xml:space="preserve">          1 unit Aircon</t>
  </si>
  <si>
    <t>Handog Pamasko sa PWD</t>
  </si>
  <si>
    <t>PWD Proposal</t>
  </si>
  <si>
    <t>Service Vehicle (not necessary new)</t>
  </si>
  <si>
    <t>Elevator/Lifter</t>
  </si>
  <si>
    <t>PS</t>
  </si>
  <si>
    <t>MOOE</t>
  </si>
  <si>
    <t xml:space="preserve">1 Plantilla position (Any SG) </t>
  </si>
  <si>
    <t xml:space="preserve">            2 units Aircon (Window type)</t>
  </si>
  <si>
    <t>Assistance to persons with disability</t>
  </si>
  <si>
    <t>AICS- Assistance to Individual in Crisis</t>
  </si>
  <si>
    <t>Recovery &amp; reintegration program for Traffic Persons</t>
  </si>
  <si>
    <t>Supplementary Feeding Program</t>
  </si>
  <si>
    <t>Programs for Older Person</t>
  </si>
  <si>
    <t>KALAHI CIDDS</t>
  </si>
  <si>
    <t>Comprehensive Program for Street Children</t>
  </si>
  <si>
    <t>8 Programs under NTA</t>
  </si>
  <si>
    <t>Sustainable Livelihood Assistance (Self Eomployment Assistance)</t>
  </si>
  <si>
    <t>Personnel to handle the above prorams</t>
  </si>
  <si>
    <t>Proposal</t>
  </si>
  <si>
    <t>1 Computer Operator I</t>
  </si>
  <si>
    <t>Repair/renovation of MSWDO</t>
  </si>
  <si>
    <t>Dentist</t>
  </si>
  <si>
    <t>Proposal PS</t>
  </si>
  <si>
    <t>Additional 2 Doctor Salary grade 21 (New Funding)-Casual</t>
  </si>
  <si>
    <t>4 Midwife-Casual</t>
  </si>
  <si>
    <t>1 Laboratory Aide-Casual</t>
  </si>
  <si>
    <t>IT Staff-Casual-Salary Grade 4</t>
  </si>
  <si>
    <t>2 Med Tech I-Casual</t>
  </si>
  <si>
    <t>1 Admin. Aide  (Driver II)-SG4</t>
  </si>
  <si>
    <t>Medtech II to Medtech III</t>
  </si>
  <si>
    <t>Bookbinder II</t>
  </si>
  <si>
    <t>2 Nurse I - SG 15</t>
  </si>
  <si>
    <t>1 Midwife</t>
  </si>
  <si>
    <t xml:space="preserve">           6 units Laptop</t>
  </si>
  <si>
    <t>TB Dots</t>
  </si>
  <si>
    <t>Bahay Silangan Completion</t>
  </si>
  <si>
    <t>Additional budget HIV/AIDS</t>
  </si>
  <si>
    <t>Rehabilitation/renovation:</t>
  </si>
  <si>
    <t>Ceiling (2nd Floor)</t>
  </si>
  <si>
    <t>PS Proposal:</t>
  </si>
  <si>
    <t>2 LLSE (Utility Worker II) - SG4-Casual</t>
  </si>
  <si>
    <t>1 Messenger - Casual</t>
  </si>
  <si>
    <t>1 LLSE - Casual</t>
  </si>
  <si>
    <t>1 Job Order - IT Staff - 358.00</t>
  </si>
  <si>
    <t xml:space="preserve">             1 unit Video Camera</t>
  </si>
  <si>
    <t xml:space="preserve">           1 unit Scanner/Photocopier</t>
  </si>
  <si>
    <t xml:space="preserve">          3 units Computer Desktop</t>
  </si>
  <si>
    <t>UPS</t>
  </si>
  <si>
    <t xml:space="preserve">    Internet Subscription Expenses</t>
  </si>
  <si>
    <t>Add: LEEO Insurance</t>
  </si>
  <si>
    <t xml:space="preserve">           2 units Brush Cutter</t>
  </si>
  <si>
    <t>Mgt &amp; Analyst Audit III- SG 18</t>
  </si>
  <si>
    <t>2 Senior Bookkeeper SG-9</t>
  </si>
  <si>
    <t>PS  Proposal</t>
  </si>
  <si>
    <t>Fiscal Examiner I - SG-11</t>
  </si>
  <si>
    <t>PS Proposal</t>
  </si>
  <si>
    <t xml:space="preserve">    Unfund Engineer III</t>
  </si>
  <si>
    <t xml:space="preserve">     Add 2 Engineer I</t>
  </si>
  <si>
    <t xml:space="preserve">     2 Electrician (Casual)</t>
  </si>
  <si>
    <t xml:space="preserve">     AO III to AO V</t>
  </si>
  <si>
    <t xml:space="preserve">     2 Lifter   1,500,000.00</t>
  </si>
  <si>
    <t xml:space="preserve">              1 unit Printer (Heavy Duty) (Autocad purposes)</t>
  </si>
  <si>
    <t xml:space="preserve">  HRMO III - SG-18</t>
  </si>
  <si>
    <t>MGDH I (BO)</t>
  </si>
  <si>
    <t>TESDA-30k</t>
  </si>
  <si>
    <t>COMELEC-15K</t>
  </si>
  <si>
    <t xml:space="preserve">Titling and Survey </t>
  </si>
  <si>
    <t>150,000-Centenarian</t>
  </si>
  <si>
    <t xml:space="preserve">          Conference Table</t>
  </si>
  <si>
    <t xml:space="preserve">          Recorder Phone</t>
  </si>
  <si>
    <t>Printing and Publication Expenses</t>
  </si>
  <si>
    <t xml:space="preserve">           1 unit DSLR Camera</t>
  </si>
  <si>
    <t>includes Christmas decorations-1,800,000.00</t>
  </si>
  <si>
    <t xml:space="preserve">          Repair and Maintenance-Machinery &amp; Equipment</t>
  </si>
  <si>
    <t xml:space="preserve">        Information &amp; Communication Technology Equipment</t>
  </si>
  <si>
    <t xml:space="preserve">               1 unit Desktop Computer Desktop with Complete Accessories       </t>
  </si>
  <si>
    <t xml:space="preserve">         Travelling Expenses</t>
  </si>
  <si>
    <t xml:space="preserve">     2.4 Provincial Women's Summit</t>
  </si>
  <si>
    <t xml:space="preserve">     2.5 Women's Livelihood Program Evaluation &amp; Assessment</t>
  </si>
  <si>
    <t xml:space="preserve">     2.6 Women's Trainings, Seminar and Conferences/Year-End Evaluation</t>
  </si>
  <si>
    <t xml:space="preserve">        2.7 Womens Livelihood Program</t>
  </si>
  <si>
    <t xml:space="preserve">                         Livelihood Program</t>
  </si>
  <si>
    <t xml:space="preserve">                         Auxiliary Social Services</t>
  </si>
  <si>
    <t xml:space="preserve">                      Office Equipment</t>
  </si>
  <si>
    <t xml:space="preserve">                                   1 unit Video Camera</t>
  </si>
  <si>
    <t xml:space="preserve">       Welfare Goods Services</t>
  </si>
  <si>
    <t xml:space="preserve">       Telephone Expenses</t>
  </si>
  <si>
    <t xml:space="preserve">       Internet Subscription Expenses</t>
  </si>
  <si>
    <t xml:space="preserve">       Cable, Satellite, Telegraph and Radio Expenses</t>
  </si>
  <si>
    <t xml:space="preserve">       Repair and Maintenance - Machinery and Equipment</t>
  </si>
  <si>
    <t xml:space="preserve">       Repair and Maintenance - Transportation Equipment</t>
  </si>
  <si>
    <t xml:space="preserve">          4 unit Television</t>
  </si>
  <si>
    <t xml:space="preserve">     Other Property, Plant and Equipment</t>
  </si>
  <si>
    <t>1-07-99-990</t>
  </si>
  <si>
    <t>Fabrication of Protective Barriers</t>
  </si>
  <si>
    <t xml:space="preserve">            12 units Laptop</t>
  </si>
  <si>
    <t xml:space="preserve">            Wall Mounted LED Television</t>
  </si>
  <si>
    <t xml:space="preserve">           1 unit CPU</t>
  </si>
  <si>
    <t xml:space="preserve">           1 unit Projector with Screen</t>
  </si>
  <si>
    <t xml:space="preserve">             Venetian Blinds</t>
  </si>
  <si>
    <t xml:space="preserve">            1 unit Air Cooler/Fan</t>
  </si>
  <si>
    <t xml:space="preserve">            LED TV</t>
  </si>
  <si>
    <t xml:space="preserve">            Camera</t>
  </si>
  <si>
    <t xml:space="preserve">            Telescope</t>
  </si>
  <si>
    <t xml:space="preserve">            Portable Speaker</t>
  </si>
  <si>
    <t xml:space="preserve">     Const. in Progress-Bldgs. &amp; Other Structure</t>
  </si>
  <si>
    <t xml:space="preserve">           Farm Equipment Shed</t>
  </si>
  <si>
    <t xml:space="preserve">     Const. in Progress-Infrastructure Assets</t>
  </si>
  <si>
    <t xml:space="preserve">           Lighting Materials</t>
  </si>
  <si>
    <t>1-07-10-020</t>
  </si>
  <si>
    <t xml:space="preserve">        Repairs and Maint. - Infrastructure Assets</t>
  </si>
  <si>
    <t xml:space="preserve">    Other Machinery &amp; Equipment</t>
  </si>
  <si>
    <t>VI. GENERAL REVERSION</t>
  </si>
  <si>
    <t>VII. SUPPORT TO COVID-19 RELATED PROGRAMS, PROJECTS, ACT. (P/P/AS)</t>
  </si>
  <si>
    <t xml:space="preserve">          Procurement of Personal Protective Equipments (PPEs)</t>
  </si>
  <si>
    <t xml:space="preserve">               Personnel and Other LGU Personnel directly involved</t>
  </si>
  <si>
    <t xml:space="preserve">          Food and Accommodation Expenses of Medical</t>
  </si>
  <si>
    <t xml:space="preserve">          Food Assistance and other Relief Goods for Affected Households</t>
  </si>
  <si>
    <t xml:space="preserve">          Other Necessary COVID-19 Related P/P/As</t>
  </si>
  <si>
    <t xml:space="preserve">       Rent/Lease Expenses</t>
  </si>
  <si>
    <t xml:space="preserve">         Internet Subscription Expense</t>
  </si>
  <si>
    <t xml:space="preserve">          Meals and Snacks during meetings and conferences</t>
  </si>
  <si>
    <t xml:space="preserve">   1. Comprehensive Juvenile Intervention Program</t>
  </si>
  <si>
    <t xml:space="preserve">     4.2 Barangay Nutrition Scholars</t>
  </si>
  <si>
    <t xml:space="preserve">     Information &amp; Communication Tech. Equipt.</t>
  </si>
  <si>
    <t xml:space="preserve">             1 unit Laptop</t>
  </si>
  <si>
    <t xml:space="preserve">             1 unit Desktop Computer w/ complete Accessories</t>
  </si>
  <si>
    <t xml:space="preserve">             3 units Printer with Scanner</t>
  </si>
  <si>
    <t>Meals &amp; Snacks during Budget Forum</t>
  </si>
  <si>
    <t xml:space="preserve">           1 unit Fiber Fushion Machine</t>
  </si>
  <si>
    <t xml:space="preserve">           1 unit UPS 300VA with Raikit</t>
  </si>
  <si>
    <t xml:space="preserve">           1 unit OTDR Tester</t>
  </si>
  <si>
    <t xml:space="preserve">              - Monetization</t>
  </si>
  <si>
    <t xml:space="preserve">          Refrigerator</t>
  </si>
  <si>
    <t xml:space="preserve">          Gas Range</t>
  </si>
  <si>
    <t xml:space="preserve">           6 units Desktop Computer w/ Complete Accessories</t>
  </si>
  <si>
    <t xml:space="preserve">            1 piece Steel Cabinet</t>
  </si>
  <si>
    <t>Tourism DTPs</t>
  </si>
  <si>
    <t>Misellaneous Expenses</t>
  </si>
  <si>
    <t>Tourism-50k, LTO-30k, housing-27k, BAO-35k</t>
  </si>
  <si>
    <t>DTPs</t>
  </si>
  <si>
    <t>Laboratory Fees</t>
  </si>
  <si>
    <t xml:space="preserve">            1 unit Brush Cutter</t>
  </si>
  <si>
    <t xml:space="preserve">           CCTV </t>
  </si>
  <si>
    <t xml:space="preserve">           2 unit Desktop Computer with printer</t>
  </si>
  <si>
    <t>Medical Scholarship Project</t>
  </si>
  <si>
    <t>Fabrication of Glass Barriers</t>
  </si>
  <si>
    <t xml:space="preserve">           Generator</t>
  </si>
  <si>
    <t>Other necessary COVID-19 related P/P/As</t>
  </si>
  <si>
    <t xml:space="preserve">           9 units Laptop</t>
  </si>
  <si>
    <t xml:space="preserve">           6 units Desktop Computer</t>
  </si>
  <si>
    <t xml:space="preserve">           2 units Water Pump</t>
  </si>
  <si>
    <t xml:space="preserve">               in the implementation of COVID-19 related P/P/As</t>
  </si>
  <si>
    <t xml:space="preserve">     Repair &amp; Maint.-Machinery &amp; Equipt.</t>
  </si>
  <si>
    <t xml:space="preserve">     Repair &amp; Maint.-Transportation Equipment</t>
  </si>
  <si>
    <t xml:space="preserve">     Repair &amp; Maint.-Buildings &amp; Other Structures</t>
  </si>
  <si>
    <t xml:space="preserve">     Water Expenses</t>
  </si>
  <si>
    <t xml:space="preserve">     Electricity Expenses</t>
  </si>
  <si>
    <t xml:space="preserve">     Telephone Expenses</t>
  </si>
  <si>
    <t xml:space="preserve">     Cable, Satellite, Telegraph and Radio Expenses</t>
  </si>
  <si>
    <t xml:space="preserve">          Accommodation for LSI and other persons under</t>
  </si>
  <si>
    <t xml:space="preserve">               monitoring and investigation</t>
  </si>
  <si>
    <t>Accommodation</t>
  </si>
  <si>
    <t xml:space="preserve">            1 unit Heavy Duty Copier/printer/scanner</t>
  </si>
  <si>
    <t>Provision of Logistical Support for the establishment and</t>
  </si>
  <si>
    <t xml:space="preserve">       operationalization of Materials Recovery Facility</t>
  </si>
  <si>
    <t>DTPS</t>
  </si>
  <si>
    <t>Financial  Subsidy</t>
  </si>
  <si>
    <t>PESO DTPs</t>
  </si>
  <si>
    <t xml:space="preserve"> tourism-120k, housing-90k, BAC-150k,PESO-120000</t>
  </si>
  <si>
    <t xml:space="preserve">     Building</t>
  </si>
  <si>
    <t xml:space="preserve">           Establishment of M.A.R.E facilities (2-storey building)</t>
  </si>
  <si>
    <t xml:space="preserve">           Development of Fresh water Resources</t>
  </si>
  <si>
    <t xml:space="preserve">                         Support to Election Expense</t>
  </si>
  <si>
    <t xml:space="preserve">              1 unit Global Positioning System (GPS)</t>
  </si>
  <si>
    <t>Support to Livestock Program</t>
  </si>
  <si>
    <t xml:space="preserve">           1 unit Electric Typewriter</t>
  </si>
  <si>
    <t xml:space="preserve">           2 units Printer</t>
  </si>
  <si>
    <t xml:space="preserve">              Long Cabinet</t>
  </si>
  <si>
    <t xml:space="preserve">              Executive Table</t>
  </si>
  <si>
    <t xml:space="preserve">              Executive Chair</t>
  </si>
  <si>
    <t xml:space="preserve">              Filing Cabinet</t>
  </si>
  <si>
    <t xml:space="preserve">              1 unit Regrigerator</t>
  </si>
  <si>
    <t xml:space="preserve">           Office Signage</t>
  </si>
  <si>
    <t xml:space="preserve">              1 unit Desktop Computer w/printer</t>
  </si>
  <si>
    <t>Mini OR Equipment - 200,000.00</t>
  </si>
  <si>
    <t xml:space="preserve">           2 sets Bilateral Tubal Ligation</t>
  </si>
  <si>
    <t xml:space="preserve">            1 unit Motorcycle  150cc</t>
  </si>
  <si>
    <t xml:space="preserve">     Medical Equipment</t>
  </si>
  <si>
    <t>1-07-05-110</t>
  </si>
  <si>
    <t xml:space="preserve">           2 sets Operating Room Lights</t>
  </si>
  <si>
    <t xml:space="preserve">           1 unit Dressing Carriage</t>
  </si>
  <si>
    <t xml:space="preserve">            1 unit 4x4 pick-up truck diesel 2999cc</t>
  </si>
  <si>
    <t xml:space="preserve">            1 unit Motorcycle 125cc</t>
  </si>
  <si>
    <t xml:space="preserve">           1 unit Service Vehicle Pick-up Type diesel 2755cc</t>
  </si>
  <si>
    <t xml:space="preserve">           1 unit Motorcycle 150cc</t>
  </si>
  <si>
    <t xml:space="preserve">            4 units Motorycle (125cc,155cc)</t>
  </si>
  <si>
    <t xml:space="preserve">           1 unit Double cab 4x4 diesel 2800cc</t>
  </si>
  <si>
    <t xml:space="preserve">            3 units Desktop Computer w/ Complete Accessories</t>
  </si>
  <si>
    <t xml:space="preserve">            2 units Printer</t>
  </si>
  <si>
    <t xml:space="preserve">           5 units Refrigerator</t>
  </si>
  <si>
    <t xml:space="preserve">            1 unit 2x4 Service Vehicle 2393cc</t>
  </si>
  <si>
    <t xml:space="preserve">   1. Support to COMELEC Office</t>
  </si>
  <si>
    <t xml:space="preserve">      Internet Subscription Expenses</t>
  </si>
  <si>
    <t xml:space="preserve">      Repair and Maintenance-Buildings and Other Structures</t>
  </si>
  <si>
    <t xml:space="preserve">      Repair and Maintenance-Machinery &amp; Equipment</t>
  </si>
  <si>
    <t xml:space="preserve">   2. Support to Election Related Activities</t>
  </si>
  <si>
    <t xml:space="preserve">            Meals and Snacks different activities</t>
  </si>
  <si>
    <t xml:space="preserve">     1.  Program for the Protection and Welfare of Children</t>
  </si>
  <si>
    <t xml:space="preserve">     2. Support to Youth Development Program</t>
  </si>
  <si>
    <t xml:space="preserve">         2.1 Support to Leadership Enhancement</t>
  </si>
  <si>
    <t xml:space="preserve">          Token</t>
  </si>
  <si>
    <t xml:space="preserve">         2.2 Support to Kabattan Kontra Droga at Teorismo (KKDAT)</t>
  </si>
  <si>
    <t xml:space="preserve">         2.3 Other Related Activities</t>
  </si>
  <si>
    <t xml:space="preserve">         Water Expenses</t>
  </si>
  <si>
    <t xml:space="preserve">         Electricity Expenses</t>
  </si>
  <si>
    <t xml:space="preserve">         Telephone Expenses</t>
  </si>
  <si>
    <t xml:space="preserve">         Rent/Lease Expenses</t>
  </si>
  <si>
    <t xml:space="preserve">               Meals &amp; Snacks during Enforcement Activity</t>
  </si>
  <si>
    <t xml:space="preserve">               Meals &amp; Snacks during Surveillance Activities</t>
  </si>
  <si>
    <t xml:space="preserve">               Meals &amp; Snacks during RPT Collection Act.</t>
  </si>
  <si>
    <t xml:space="preserve">               Meals &amp; Snacks during RPT Assessment Act.</t>
  </si>
  <si>
    <t xml:space="preserve">                     Prepared:                                                                                  Reviewed:                                                         Approved:</t>
  </si>
  <si>
    <t xml:space="preserve">                                        Municipal Administrator                                                Municipal Budget Officer                                                         Municipal Mayor</t>
  </si>
  <si>
    <t>IV. Programs on Tourism, Investment</t>
  </si>
  <si>
    <t xml:space="preserve">       1. Tourism Development and Promotion</t>
  </si>
  <si>
    <t xml:space="preserve">     2. Tourism Week Celebration</t>
  </si>
  <si>
    <t xml:space="preserve">     3. Tourism Promotion</t>
  </si>
  <si>
    <t xml:space="preserve">     3. Drug Abuse Prevention and Control Program</t>
  </si>
  <si>
    <t xml:space="preserve">        3.1 Anti-Illegal Drug IEC Campaign/Symposia</t>
  </si>
  <si>
    <t xml:space="preserve">        3.2 Drug Law Enforcement and Prevention Activities</t>
  </si>
  <si>
    <t xml:space="preserve">        3.3 Barangay Drug Clearing Program</t>
  </si>
  <si>
    <t xml:space="preserve">        3.4 Support to Persons with Substance Use Disorder (SUDs)</t>
  </si>
  <si>
    <t xml:space="preserve">     4. Support to Philippine Red Cross</t>
  </si>
  <si>
    <t>5-02-03-060</t>
  </si>
  <si>
    <t>5-02-14-03</t>
  </si>
  <si>
    <t>4. Construction/Rehablitation of Multi-purpose building</t>
  </si>
  <si>
    <t>6. Purchase of Lot for Multi-purpose hall</t>
  </si>
  <si>
    <t xml:space="preserve">   6.1 Five (5) hectares Lot for the Proposed New Municipal </t>
  </si>
  <si>
    <t xml:space="preserve">   6.2 Purchase of Lot for Multi-purpose building of Kiharong</t>
  </si>
  <si>
    <t>7. Support to COVID-19 Related Programs, Projects &amp; Act. (P/P/As)</t>
  </si>
  <si>
    <t>8. Construction of Two-Storey Municipal Building, phase II (GSO &amp; COA building</t>
  </si>
  <si>
    <t>9. Construction of Perimeter Fence for PNP Station</t>
  </si>
  <si>
    <t>10. Construction of Perimeter Fence for MDRRM Office</t>
  </si>
  <si>
    <t>11. Construction/Rehablitation of Multi-purpose Pavement of Barangay LGUs</t>
  </si>
  <si>
    <t xml:space="preserve">   11.2 La Roxas</t>
  </si>
  <si>
    <t xml:space="preserve">   11.1 Panalsalan</t>
  </si>
  <si>
    <t>12. Rehabilitation/Improvement of Multi-purpose Building (Municipal Hall)</t>
  </si>
  <si>
    <t xml:space="preserve">   12.1 Installation of Elevator/Lift</t>
  </si>
  <si>
    <t xml:space="preserve">   12.2 Repainting of Municipal Hall Building</t>
  </si>
  <si>
    <t xml:space="preserve">   12.3 Improvement of Mayor's Office and Installation of Exit Stair</t>
  </si>
  <si>
    <t>13. Completion of Ampitheater Building</t>
  </si>
  <si>
    <t xml:space="preserve">       2.3 Concreting of 260 linear meters of Municipal Street along Sto. Niño</t>
  </si>
  <si>
    <t xml:space="preserve">             St. from Jct. Andres Bonifacio St. to Jct. Toribio Coruñ St.</t>
  </si>
  <si>
    <t xml:space="preserve">       2.4 Concreting of 194 linear meters of Municipal Street along Quezon</t>
  </si>
  <si>
    <t xml:space="preserve">             Avenue from Jct. Sayre Highway to Jct. Manuel Roxas St.</t>
  </si>
  <si>
    <t>6.0 Rehabilitation/Imporvement of Municipal Roads from Jct. National</t>
  </si>
  <si>
    <t xml:space="preserve">      Highway (Anahawon) to Panadtalan Leading to New Municpal</t>
  </si>
  <si>
    <t xml:space="preserve">     Gymnasium Site</t>
  </si>
  <si>
    <t>7.0 Purchase of Appropriate Engineering Equipment</t>
  </si>
  <si>
    <t xml:space="preserve">      7.1 Purchase 1 unit Road Grader</t>
  </si>
  <si>
    <t xml:space="preserve">      7.2 Purchase of 1 unit Road Roller</t>
  </si>
  <si>
    <t xml:space="preserve">             Riparian Zones</t>
  </si>
  <si>
    <t xml:space="preserve">      Fuel, Oil &amp; Lubricants Expenses</t>
  </si>
  <si>
    <t xml:space="preserve">                  Repair and Maintenance-Machinery &amp; Equipment</t>
  </si>
  <si>
    <t xml:space="preserve">                  Internet Subscription Expenses</t>
  </si>
  <si>
    <t xml:space="preserve">                  Cable, Satellite, Telegraph and Radio Expenses</t>
  </si>
  <si>
    <t xml:space="preserve">                  Electricity Expenses</t>
  </si>
  <si>
    <t xml:space="preserve">                  Water Expenses</t>
  </si>
  <si>
    <t xml:space="preserve">                  Telephone Expenses</t>
  </si>
  <si>
    <t xml:space="preserve">                      Meals and Snacks</t>
  </si>
  <si>
    <t xml:space="preserve">                      Hotel/Room Accommodation</t>
  </si>
  <si>
    <t xml:space="preserve">       1.1 Reintegration</t>
  </si>
  <si>
    <t>1. Conduct of training for disaster preparedness and response,</t>
  </si>
  <si>
    <t xml:space="preserve">         1.1 Stress Debriefing for MDRRM Personnel</t>
  </si>
  <si>
    <t xml:space="preserve">                  Furniture and Fixtures</t>
  </si>
  <si>
    <t xml:space="preserve">                     Venetian Blinds</t>
  </si>
  <si>
    <t xml:space="preserve">                     Fabrication of Cabinets</t>
  </si>
  <si>
    <t xml:space="preserve">         Municipal Peace and Order Activities</t>
  </si>
  <si>
    <t>5-02-13-030</t>
  </si>
  <si>
    <t>`</t>
  </si>
  <si>
    <r>
      <t xml:space="preserve">Current Year </t>
    </r>
    <r>
      <rPr>
        <b/>
        <sz val="8"/>
        <rFont val="Arial Narrow"/>
        <family val="2"/>
      </rPr>
      <t>2022</t>
    </r>
    <r>
      <rPr>
        <sz val="8"/>
        <rFont val="Arial Narrow"/>
        <family val="2"/>
      </rPr>
      <t xml:space="preserve"> (Estimate)</t>
    </r>
  </si>
  <si>
    <r>
      <t xml:space="preserve">Current Year </t>
    </r>
    <r>
      <rPr>
        <b/>
        <sz val="8"/>
        <rFont val="Arial Narrow"/>
        <family val="2"/>
      </rPr>
      <t xml:space="preserve">2022 </t>
    </r>
    <r>
      <rPr>
        <sz val="8"/>
        <rFont val="Arial Narrow"/>
        <family val="2"/>
      </rPr>
      <t>(Estimate)</t>
    </r>
  </si>
  <si>
    <t xml:space="preserve">                         Meals &amp; Snacks for different Activities</t>
  </si>
  <si>
    <t>Transfer to MSWDO</t>
  </si>
  <si>
    <t>Local Economic Managers Incentives</t>
  </si>
  <si>
    <t>Top Performing Barangay for highest collections &amp; remittance of local revenue sources</t>
  </si>
  <si>
    <t>Tourism Promotional Video</t>
  </si>
  <si>
    <t xml:space="preserve">           DSLR Camera</t>
  </si>
  <si>
    <t xml:space="preserve">           Smart Television</t>
  </si>
  <si>
    <t xml:space="preserve">           Laptop</t>
  </si>
  <si>
    <t xml:space="preserve">           Portable Trolley Bluetooth Speaker w/ accessories</t>
  </si>
  <si>
    <t xml:space="preserve">     Land</t>
  </si>
  <si>
    <t xml:space="preserve">           Purchase of Land for National Offices</t>
  </si>
  <si>
    <t xml:space="preserve">              1 unit DSLR Camera</t>
  </si>
  <si>
    <t xml:space="preserve">              1 unit LED Projector w/white screen</t>
  </si>
  <si>
    <t>Meals &amp; Snacks for Committee/En Banc Hearings</t>
  </si>
  <si>
    <t>Meals &amp; Snacks for different legislative projects and activities</t>
  </si>
  <si>
    <t xml:space="preserve">          Document Scanner</t>
  </si>
  <si>
    <t xml:space="preserve">          Riso Machine</t>
  </si>
  <si>
    <t xml:space="preserve">          Motorcycle</t>
  </si>
  <si>
    <t xml:space="preserve">           Installation of Aircon</t>
  </si>
  <si>
    <t>Meals &amp; Snacks during Coordination meeting</t>
  </si>
  <si>
    <t xml:space="preserve">           1 unit Grass Cutter</t>
  </si>
  <si>
    <t xml:space="preserve">             1 unit Smart Television</t>
  </si>
  <si>
    <t xml:space="preserve">        Subsidy - Others</t>
  </si>
  <si>
    <t xml:space="preserve">        Subsidy - Other Funds</t>
  </si>
  <si>
    <t xml:space="preserve">           1 unit Multi-Cab (4x4)</t>
  </si>
  <si>
    <t>Uniform Body Color of Motorela</t>
  </si>
  <si>
    <t xml:space="preserve">     Road Networks</t>
  </si>
  <si>
    <t xml:space="preserve">              Concreting of Maramag Avenue from Junction Pine Street to Sayre Highway, South Poblacion</t>
  </si>
  <si>
    <t xml:space="preserve">              Concreting of Toribio Coroña Street from Junction Quezon Avenue to Santo Niño Street, South Poblacion</t>
  </si>
  <si>
    <t xml:space="preserve">              Concreting of Tamarind Street from Junction Toribio Coroña Street to Pine Street, South Poblacion</t>
  </si>
  <si>
    <t xml:space="preserve">              Concreting of Mabini Street from Junction Toribio Coroña Street to Pine Street, South Poblacion</t>
  </si>
  <si>
    <t xml:space="preserve">              Concreting Highway of Molave Street from Junction Quezon Avenue to Santo Niño Street,  North Poblacion</t>
  </si>
  <si>
    <t xml:space="preserve">              Concreting of Cabinta and Real Street from Junction Dionisio Micayabas Street, South Poblacion</t>
  </si>
  <si>
    <t xml:space="preserve">              Concreting of Toribio Coroña Street from Junction Mabini Street to Pine Street, South Poblacion</t>
  </si>
  <si>
    <t xml:space="preserve">     Construction in Progress - Bldgs. &amp; Other Structures</t>
  </si>
  <si>
    <t xml:space="preserve">              Construction of LTO Comfort Room</t>
  </si>
  <si>
    <r>
      <t xml:space="preserve">Current Year </t>
    </r>
    <r>
      <rPr>
        <b/>
        <sz val="9"/>
        <rFont val="Arial Narrow"/>
        <family val="2"/>
      </rPr>
      <t xml:space="preserve">2022 </t>
    </r>
    <r>
      <rPr>
        <sz val="9"/>
        <rFont val="Arial Narrow"/>
        <family val="2"/>
      </rPr>
      <t xml:space="preserve"> (Estimate)</t>
    </r>
  </si>
  <si>
    <t>14. Rehab of Government-Owned Potable Water Supply System</t>
  </si>
  <si>
    <t xml:space="preserve">   14.1 Installation of 2 - unit Chlorinator</t>
  </si>
  <si>
    <t xml:space="preserve">   7.1 Procurement of PPEs</t>
  </si>
  <si>
    <t>OIC-Municipal Fire Marshal</t>
  </si>
  <si>
    <r>
      <t xml:space="preserve">Current Year </t>
    </r>
    <r>
      <rPr>
        <b/>
        <sz val="10"/>
        <rFont val="Tahoma"/>
        <family val="2"/>
      </rPr>
      <t>2022</t>
    </r>
    <r>
      <rPr>
        <sz val="10"/>
        <rFont val="Tahoma"/>
        <family val="2"/>
      </rPr>
      <t xml:space="preserve"> (Estimate)</t>
    </r>
  </si>
  <si>
    <t xml:space="preserve">          Livelihood Assistance for Last Termer</t>
  </si>
  <si>
    <t xml:space="preserve">          Medical/Mortuary Assistance</t>
  </si>
  <si>
    <t xml:space="preserve">    Travelling Expenses</t>
  </si>
  <si>
    <t xml:space="preserve">    Other Structures</t>
  </si>
  <si>
    <t xml:space="preserve">        Construction of Maramag Landmark</t>
  </si>
  <si>
    <t xml:space="preserve">               2 units Container Van</t>
  </si>
  <si>
    <t>VIII. ROAD MAINTENANCE</t>
  </si>
  <si>
    <t xml:space="preserve">      1. Support to Road Maintenance</t>
  </si>
  <si>
    <t xml:space="preserve">     Repair &amp; Maintenance-Infrastructure Assests</t>
  </si>
  <si>
    <t>IX. STREET LIGHT MAINTENANCE</t>
  </si>
  <si>
    <t xml:space="preserve">      1. Support to Street Light Maintenance</t>
  </si>
  <si>
    <t xml:space="preserve">                Meals and Snacks during Women's Month Celebration</t>
  </si>
  <si>
    <t xml:space="preserve">              Meals &amp; Snacks during Monthly Meeting</t>
  </si>
  <si>
    <t xml:space="preserve">   1.14 Support to Municipal Epidemiology and Surveillance Unit</t>
  </si>
  <si>
    <t xml:space="preserve">             Travelling Expenses</t>
  </si>
  <si>
    <t xml:space="preserve">             Medical, Dental &amp; Laboratory Supplies Expenses</t>
  </si>
  <si>
    <t xml:space="preserve">             Printing &amp; Publication Expenses</t>
  </si>
  <si>
    <t xml:space="preserve">                  Meals &amp; Snacks for different activities</t>
  </si>
  <si>
    <t xml:space="preserve">                  Hotel/Room Accommodation for evaluators</t>
  </si>
  <si>
    <t xml:space="preserve">                  Financial Subsidy</t>
  </si>
  <si>
    <t xml:space="preserve">        Capital Outlay</t>
  </si>
  <si>
    <t xml:space="preserve">                  Office Equipment</t>
  </si>
  <si>
    <t xml:space="preserve">                         1 unit Refrigerator</t>
  </si>
  <si>
    <t xml:space="preserve">     2.3 Local Youth Development Council</t>
  </si>
  <si>
    <t>3. Support to Youth Development Program</t>
  </si>
  <si>
    <t xml:space="preserve">         3.1 Support to Leadership Enhancement</t>
  </si>
  <si>
    <t xml:space="preserve">         3.2 Support to Kabattan Kontra Droga at Teorismo (KKDAT)</t>
  </si>
  <si>
    <t xml:space="preserve">         3.3 Other Related Activities</t>
  </si>
  <si>
    <t>VII. PROGRAMS ON HOUSING, TOURISM, INVESTMENT PROMOTION AND SKILLS DEVELOPMENT</t>
  </si>
  <si>
    <t>VIII. CAPABILITY BUILDING OF FOCAL POINT SYSTEM</t>
  </si>
  <si>
    <t xml:space="preserve">   1. Other GAD Related Activities</t>
  </si>
  <si>
    <t xml:space="preserve">                Fuel, Oil &amp; Lubricants Expenses</t>
  </si>
  <si>
    <t xml:space="preserve">                     Meals and Snacks for different activities</t>
  </si>
  <si>
    <t xml:space="preserve">                     Hotel Accommodation</t>
  </si>
  <si>
    <t>Clerk of Court</t>
  </si>
  <si>
    <t>2. Performance-Based Bonus</t>
  </si>
  <si>
    <t xml:space="preserve">          Pamuhat</t>
  </si>
  <si>
    <t>Meals &amp; Snacks different Activities</t>
  </si>
  <si>
    <t xml:space="preserve">       Water Expenses</t>
  </si>
  <si>
    <t xml:space="preserve">       Electricity Expenses</t>
  </si>
  <si>
    <t xml:space="preserve">           Meals and Snacks - Meetings</t>
  </si>
  <si>
    <t xml:space="preserve">   7.4 Procurement of Disinfectants, Sprayers, Disinfection Tents and Other Disinfecting Supplies and Misting Equipment</t>
  </si>
  <si>
    <t xml:space="preserve">   7.2 Procurement of Equioment, reagents, Antigen, &amp; Kits for COVID-19 Testing</t>
  </si>
  <si>
    <t xml:space="preserve">   7.3 Procurement of Hospital Equipment &amp; Supplies</t>
  </si>
  <si>
    <t xml:space="preserve">   7.5 Food, Tr4ansportation and Accommo expenses of Medical Personnel and Other LGU Personnel Directly involved in the implementation of COVID-19 related PPAs</t>
  </si>
  <si>
    <t xml:space="preserve">        7.5.1 Fuel</t>
  </si>
  <si>
    <t xml:space="preserve">        7.5..2 Foods</t>
  </si>
  <si>
    <t xml:space="preserve">   7.6 Food Assistance &amp; Other relief goods for affected households</t>
  </si>
  <si>
    <t xml:space="preserve">   7.7 Expenes for Lease/Rental of Additional space/building to accommodate monitoring/investigation</t>
  </si>
  <si>
    <t xml:space="preserve">   7.8 Other Necessary COVID-19 related PPAs</t>
  </si>
  <si>
    <t xml:space="preserve">        7.8.1 Casket &amp; Body Bag</t>
  </si>
  <si>
    <t>15. Construction of COVID-19 Facility at Magsaysay Kuya, Maramag</t>
  </si>
  <si>
    <t xml:space="preserve">   2.1 Barangay Base Camp</t>
  </si>
  <si>
    <t>2. Installation of Street Lighting facilities</t>
  </si>
  <si>
    <t>3. Construction of Perimeter Fence</t>
  </si>
  <si>
    <t xml:space="preserve">   3.1 Barangay Camp 1</t>
  </si>
  <si>
    <t>5-02-14-060</t>
  </si>
  <si>
    <t xml:space="preserve">                                                                           q</t>
  </si>
  <si>
    <t xml:space="preserve">               2 Units Motorcycle</t>
  </si>
  <si>
    <t xml:space="preserve">     1. Kaamulan Festival</t>
  </si>
  <si>
    <t xml:space="preserve">     2. Araw ng Maramag - Kahalawan Te Sebseb Festival</t>
  </si>
  <si>
    <t xml:space="preserve">      1. Real Property Tax Collection Activities</t>
  </si>
  <si>
    <t xml:space="preserve">      2 Real Property Tax Assessment Activities</t>
  </si>
  <si>
    <t xml:space="preserve">               Support to Plea Bargainers &amp; Walk-In Clients</t>
  </si>
  <si>
    <t>1-07-04-990</t>
  </si>
  <si>
    <t xml:space="preserve">   3.2 Barangay Anahawon</t>
  </si>
  <si>
    <t xml:space="preserve">   4.1 Barangay Camp 1</t>
  </si>
  <si>
    <t xml:space="preserve">   11.3 Kiharong</t>
  </si>
  <si>
    <t xml:space="preserve">   11.4 La Roxas</t>
  </si>
  <si>
    <t>5. Rehabilitation of Potable Water Supply System</t>
  </si>
  <si>
    <t xml:space="preserve">   5.1 Barangay Bayabason</t>
  </si>
  <si>
    <t xml:space="preserve">   5.2 Barangay San Roque</t>
  </si>
  <si>
    <t xml:space="preserve">   5.3 Barangay Bagong Silang (P-7, P-8)</t>
  </si>
  <si>
    <t xml:space="preserve">   5.4 Barangay Panalsalan (Sitio Kasagayan)</t>
  </si>
  <si>
    <t xml:space="preserve">   5.5 Barangay Kuya</t>
  </si>
  <si>
    <t>16. Construction of Potable Water Supply System</t>
  </si>
  <si>
    <t xml:space="preserve">   16.1 Barangay Dologon (Purok 12)</t>
  </si>
  <si>
    <t xml:space="preserve">   16.2 Barangay South Poblacion (Purok 11)</t>
  </si>
  <si>
    <t xml:space="preserve">   16.3 LGU Housing and Relocation Area (Anahawon and Panadtalan)</t>
  </si>
  <si>
    <t>17. Development/Improvement of Municipal Cemetery</t>
  </si>
  <si>
    <t>2.0 Construction/Development of Municipal Roads/Streets</t>
  </si>
  <si>
    <t xml:space="preserve">       2.1 Concreting of 200 linear meters of Municipal Street along </t>
  </si>
  <si>
    <t xml:space="preserve">             Mabini Street from Junction Del Pilar Street to Purok 5, North</t>
  </si>
  <si>
    <t xml:space="preserve">       2.2 Development of Municipal Road from Junction Benito de Asis</t>
  </si>
  <si>
    <t xml:space="preserve">             Street to New Municipal Government Site</t>
  </si>
  <si>
    <t xml:space="preserve">     5.1 Purchase of 1 unit Refrigerated Van (Meat Van)</t>
  </si>
  <si>
    <t>1-07-04-050</t>
  </si>
  <si>
    <t>1-06-01-020</t>
  </si>
  <si>
    <t xml:space="preserve">    1.1 Kisanday</t>
  </si>
  <si>
    <t xml:space="preserve">    1.2 Panadtalan (5 hectares)</t>
  </si>
  <si>
    <t xml:space="preserve">    1.3 San Roque (1 hectare)</t>
  </si>
  <si>
    <t xml:space="preserve">    1.4 Bagong Silang</t>
  </si>
  <si>
    <t xml:space="preserve">   4.2 Dologon</t>
  </si>
  <si>
    <t xml:space="preserve">   4.3 North Poblacion</t>
  </si>
  <si>
    <t xml:space="preserve">   4.4 Camp 1</t>
  </si>
  <si>
    <t xml:space="preserve">   4.5 Kiharong</t>
  </si>
  <si>
    <t xml:space="preserve">   4.6 North Poblacion</t>
  </si>
  <si>
    <t xml:space="preserve">   4.7 Tubigon</t>
  </si>
  <si>
    <t xml:space="preserve">       1.1 Conservastion and Development of Water Production Areas and </t>
  </si>
  <si>
    <t xml:space="preserve">       1.2 Improvement of Municipal Plant Nursery</t>
  </si>
  <si>
    <t xml:space="preserve">     2.1 Construction of Drainage Canal - Phase II</t>
  </si>
  <si>
    <t xml:space="preserve">     2.2 Installation of Lighting System/Facilities</t>
  </si>
  <si>
    <t xml:space="preserve">     2.3 Installation of Weighing Bridge/Truck Scale for Garbage </t>
  </si>
  <si>
    <t xml:space="preserve">     2.4 Rehab. Of Sanitary Landfill Access Roaad</t>
  </si>
  <si>
    <t xml:space="preserve">3.0 Construction of Materials Recovery Facility at Sabacan, </t>
  </si>
  <si>
    <t xml:space="preserve">     3.1 Purchase of Bottle Crusher/Pulverizer</t>
  </si>
  <si>
    <t xml:space="preserve">     3.2 Const. of Additional Shed for Bio Waste Shredder and Composet Set</t>
  </si>
  <si>
    <t>4.0 Purchase of 4-wheeled Drive Garbage vehicle</t>
  </si>
  <si>
    <t>5.0 Environment Management Projects</t>
  </si>
  <si>
    <t xml:space="preserve">     5.1 Closure and Rehabilitation of Old Dump Site at</t>
  </si>
  <si>
    <t xml:space="preserve">     5.2 Flood Control (Desilting and Declogging of Rivers</t>
  </si>
  <si>
    <t>6.0 Purchase of Garbage Trucks for Barangay LGUs</t>
  </si>
  <si>
    <t xml:space="preserve">     6.1 Barangay Colambugon</t>
  </si>
  <si>
    <t>7.0 Maintenance &amp; Repair of Garbage Trucks of Barangay LGUs</t>
  </si>
  <si>
    <t xml:space="preserve">     7.1 Barangay Kiharong</t>
  </si>
  <si>
    <t xml:space="preserve">     7.2 Barangay Panadtalan</t>
  </si>
  <si>
    <t>8.0 Sanitary Landfill Development at Sabacan, Panadtalan</t>
  </si>
  <si>
    <t xml:space="preserve">     8.1 Construction of hazardous Waste Storage Facility</t>
  </si>
  <si>
    <t xml:space="preserve">     8.2 Purchase of Tractor with Rotator (windrow composting)</t>
  </si>
  <si>
    <t xml:space="preserve">     8.3 Purchase of Land for Sanitary Landfill Expansion</t>
  </si>
  <si>
    <t xml:space="preserve">     8.4 Estalishment of Hazardous Waste Disposal Cell</t>
  </si>
  <si>
    <t xml:space="preserve">     8.5 Establishment of Non-Hazardous Disposal Cell, Phase IV</t>
  </si>
  <si>
    <t xml:space="preserve">     8.6 Establishment of Wate Retaining Facility and Leachate Catchment at Old Dumpsite</t>
  </si>
  <si>
    <t>9.0 Construction of Materials Recovery Facility at Sabacan, Panadtalan</t>
  </si>
  <si>
    <t xml:space="preserve">     9.1 Completion of MRF Operation Building</t>
  </si>
  <si>
    <t>8.0 LGU Counterpart for KALAHI CIDSS Project</t>
  </si>
  <si>
    <t>9.0 Concreting of Brgy. Roads at Sabacan, Panadtalan (LGU Counterpart)</t>
  </si>
  <si>
    <t xml:space="preserve">          Meals and Snacks </t>
  </si>
  <si>
    <t>1. Implement Community - Based Monitoring System (CBMS)</t>
  </si>
  <si>
    <t>2. Construction of dams or embankments that will reduce/ mitigate</t>
  </si>
  <si>
    <t>3. Support to COVID - 19 Related Programs, Projects and Activities (PPAs)</t>
  </si>
  <si>
    <t>4. Updating MDRRM Plan</t>
  </si>
  <si>
    <t>5. Capability Building (Train, Equipt, Organize, Provide, Funding, Sustaon) on Mainstreaming Disasater Risk Reduction and Mgt./CCA in Dev't. Planning, Investment, Programming/Financing and Project Evaluation &amp; Dev't.</t>
  </si>
  <si>
    <t xml:space="preserve">         1.2 Conduct of Standard First Aide Basic Life Support Training</t>
  </si>
  <si>
    <t xml:space="preserve">         1.3 Introduction to Diving, Water Search and Rescue</t>
  </si>
  <si>
    <t xml:space="preserve">   16.4 Barangay Bagong Silang (P-5)</t>
  </si>
  <si>
    <t xml:space="preserve">                      Financial Subsidy</t>
  </si>
  <si>
    <t xml:space="preserve">         1.4 Mountain Search &amp; Rescue/High Angle Rescue</t>
  </si>
  <si>
    <t xml:space="preserve">         1.5 Integrated Planning ICS Level II</t>
  </si>
  <si>
    <t xml:space="preserve">         1.6 Rapid Damage Assessment &amp; Needs Analysis (RDANA) &amp; Post Disaster Needs Assessment (PDANA) Training</t>
  </si>
  <si>
    <t xml:space="preserve">         1.7 Emergency Operation Center Enhancement Training</t>
  </si>
  <si>
    <t>2. Development for Information, Education and Communcation</t>
  </si>
  <si>
    <t xml:space="preserve">3. Development and institutionalization of early warning </t>
  </si>
  <si>
    <t>4. Stockpiling of bassic emergency supplies</t>
  </si>
  <si>
    <t>5. Other programs or projects of similar nature and considered necessary</t>
  </si>
  <si>
    <t xml:space="preserve">                       Financial Subsidy</t>
  </si>
  <si>
    <t xml:space="preserve">                   Other Machinery &amp; Equipment</t>
  </si>
  <si>
    <t xml:space="preserve">                        5 units Collapsible Tents</t>
  </si>
  <si>
    <t>1. Other Program or Projects of Similar Nature &amp; cinsidered necessary</t>
  </si>
  <si>
    <t xml:space="preserve">                   Motor Vehicle</t>
  </si>
  <si>
    <t xml:space="preserve">                        1 unit Customized Rescue Vehicle</t>
  </si>
  <si>
    <t>2. Support to COVID-19 Related P/P/As</t>
  </si>
  <si>
    <t xml:space="preserve">                        Travelling Expenses</t>
  </si>
  <si>
    <t xml:space="preserve">                        Fuel, Oil, &amp; Lubricants Expenses</t>
  </si>
  <si>
    <t xml:space="preserve">                        Medical, Dental &amp; Laboratory Supplies Expenses</t>
  </si>
  <si>
    <t xml:space="preserve">                        Other Supplies and Materials Expenses</t>
  </si>
  <si>
    <t xml:space="preserve">                        Repair &amp; Maintenance-Transportation Equipment</t>
  </si>
  <si>
    <t xml:space="preserve">                        Other Maintenance and Operating Expenses </t>
  </si>
  <si>
    <t xml:space="preserve">                              Support to Frontliners during COVID-19 Pandemic</t>
  </si>
  <si>
    <t xml:space="preserve">                              Support to LSI &amp; ROFW</t>
  </si>
  <si>
    <t xml:space="preserve">                              FOOD</t>
  </si>
  <si>
    <t xml:space="preserve">                              Other Necessary COVID-19 P/P/As</t>
  </si>
  <si>
    <t>3. Provision of Food Subsistence or Relief Goods to Disaster Victims (Enforce) Pre-Emptive Ecavaution)</t>
  </si>
  <si>
    <t xml:space="preserve">                        Welfare Goods Expenses</t>
  </si>
  <si>
    <t xml:space="preserve">                              Purchase of Cadaver bags</t>
  </si>
  <si>
    <t xml:space="preserve">                              1 unit Backhoe</t>
  </si>
  <si>
    <t xml:space="preserve">                      Motor Vehicle</t>
  </si>
  <si>
    <t>2. Support to COVID-19 Related Programs, Projects and Activities (PPAs)</t>
  </si>
  <si>
    <t>6. Conduct of Public Awareness Act. In Hazard Prone Areas</t>
  </si>
  <si>
    <t>7. Conduct of Risk Assessment Mapping &amp; Prepare Hazard Maps</t>
  </si>
  <si>
    <t xml:space="preserve">      Information &amp; Technology Equipment</t>
  </si>
  <si>
    <t xml:space="preserve">      Fuel,Oil &amp; Lubricants Expenses</t>
  </si>
  <si>
    <t xml:space="preserve">           Drone with Built -in GPS</t>
  </si>
  <si>
    <t xml:space="preserve">           GPS Tracker</t>
  </si>
  <si>
    <t>8. Preventive and Mitigating Infrastructure</t>
  </si>
  <si>
    <t xml:space="preserve">           1 unit Early Warning Device</t>
  </si>
  <si>
    <t>9. Environment Protection &amp; Mngt,/DRRM-CCA Program</t>
  </si>
  <si>
    <t>10. Enactment of Ordinance Regulating Occupants in Hazard Zones</t>
  </si>
  <si>
    <t xml:space="preserve">           Meals and snacks</t>
  </si>
  <si>
    <t xml:space="preserve">      Water Supply System</t>
  </si>
  <si>
    <t xml:space="preserve">           Water Suply System at Evacuation Center</t>
  </si>
  <si>
    <t xml:space="preserve">      Water Expenses</t>
  </si>
  <si>
    <t xml:space="preserve">      Electricity Expenses</t>
  </si>
  <si>
    <t xml:space="preserve">      Repair &amp; Maintenance-Transportation Expenses</t>
  </si>
  <si>
    <t xml:space="preserve">                       Meals &amp; Snacks different activities</t>
  </si>
  <si>
    <t>6.. Support to COVID-19 Related Programs, projects and Activities (PPAs)</t>
  </si>
  <si>
    <t>7. Municipal Disaster Risk Reduction &amp; Management Council Operation/Activities</t>
  </si>
  <si>
    <t xml:space="preserve">                     Meals &amp; snacks during meetings</t>
  </si>
  <si>
    <t xml:space="preserve">                     Multi Copier/Scanner</t>
  </si>
  <si>
    <t xml:space="preserve">                 Other Supplies and Materials Expenses</t>
  </si>
  <si>
    <t>8. Institutionalization of Incident Command System</t>
  </si>
  <si>
    <t xml:space="preserve">      8.1 Conduct of ICS Training Level III for MDRRM Council Members</t>
  </si>
  <si>
    <t xml:space="preserve">                     Hotel/Room Accommodation</t>
  </si>
  <si>
    <t xml:space="preserve">                     Miscellaneous Expenses</t>
  </si>
  <si>
    <t xml:space="preserve">     8.2 Capability Building Activities for MDRRM Personnel and Volunteers</t>
  </si>
  <si>
    <t xml:space="preserve">                     Meals &amp; snacks</t>
  </si>
  <si>
    <t xml:space="preserve">                     Meals &amp; snacks </t>
  </si>
  <si>
    <t xml:space="preserve">     8.3 Comprehensive Training Program for Search and Rescue</t>
  </si>
  <si>
    <t xml:space="preserve">         8.3.1 Emergency Medical Technician Traininh Course for MDRRM personnel</t>
  </si>
  <si>
    <t xml:space="preserve">         8.3.2 Conduct and Participate Rescue Olympics</t>
  </si>
  <si>
    <t xml:space="preserve">         8.3.3 Conduct of Community Disaster Drill</t>
  </si>
  <si>
    <t>9. Production, Distribution &amp; Dissemination of EVACUATION GUIDES for families prone to to Calamity</t>
  </si>
  <si>
    <t xml:space="preserve">                 Printing and Publication Expenses</t>
  </si>
  <si>
    <t>5-02-99-0250</t>
  </si>
  <si>
    <t>10. Retrofitting.Installation of Adequate Basic and Essential Facilities at the MDRRM Office</t>
  </si>
  <si>
    <t>11. Disaster Preparedness and Response Mechanisms</t>
  </si>
  <si>
    <t>12. Coordination with concerned agencies &amp; offices</t>
  </si>
  <si>
    <t xml:space="preserve">                     Meals &amp; Snacks for visitors</t>
  </si>
  <si>
    <t xml:space="preserve">                              Purchase of PPEs</t>
  </si>
  <si>
    <t xml:space="preserve">                        Insurance Expenses</t>
  </si>
  <si>
    <t>4. Enforce Pre-emptive or forced evacuation of affected individuals and families</t>
  </si>
  <si>
    <t xml:space="preserve">                        Motor Vehicles</t>
  </si>
  <si>
    <t xml:space="preserve">                             1 unit Utility Vehicle</t>
  </si>
  <si>
    <t xml:space="preserve">      Disaster Response and Rescue Equipment</t>
  </si>
  <si>
    <t>11. Improvement of Water Supply System</t>
  </si>
  <si>
    <t xml:space="preserve">     3.3 Rehabilitation of Barangay Roads and Drainages (severely damaged sections)</t>
  </si>
  <si>
    <t xml:space="preserve">            3.3.1 Rehab. of Brgy. Road, Brgy. Anahawon (2 km.)</t>
  </si>
  <si>
    <t xml:space="preserve">            3.3.2 Rehab. of Brgy. Road, Brgy. Bagong Silang (2 km.)</t>
  </si>
  <si>
    <t xml:space="preserve">            3.3.3 Rehab. of Brgy. Road, Brgy. Base Camp  (2 km.)</t>
  </si>
  <si>
    <t xml:space="preserve">            3.3.4 Rehab. of Brgy. Road, Brgy. Bayabason  (2 km.)</t>
  </si>
  <si>
    <t xml:space="preserve">            3.3.5 Rehab. of Brgy. Road, Brgy. Colambugon  (2 km.)</t>
  </si>
  <si>
    <t xml:space="preserve">            3.3.6 Rehab. of Brgy. Road, Brgy. Dagumbaan  (2 km.)</t>
  </si>
  <si>
    <t xml:space="preserve">            3.3.7 Rehab. of Brgy. Road, Brgy. Danggawan  (2 km.)</t>
  </si>
  <si>
    <t xml:space="preserve">            3.3.8 Rehab. of Brgy. Road, Brgy. Kuya  (2 km.)</t>
  </si>
  <si>
    <t xml:space="preserve">            3.3.9 Rehab. of Brgy. Road, Brgy. North Poblacion (2 km.)</t>
  </si>
  <si>
    <t xml:space="preserve">            3.3.10 Rehab. of Brgy. Road, Brgy. La Roxas</t>
  </si>
  <si>
    <t xml:space="preserve">            3.3.11 Rehab. of Brgy. Road, Brgy. Panadtalan  (2 km.)</t>
  </si>
  <si>
    <t xml:space="preserve">            3.3.12 Rehab. of Brgy. Road, Brgy. Panalsalan  (2 km.)</t>
  </si>
  <si>
    <t xml:space="preserve">            3.3.13 Rehab. of Brgy. Road, Brgy. San Miguel  (2 km.)</t>
  </si>
  <si>
    <t xml:space="preserve">            3.3.14 Rehab. of Brgy. Road, Brgy. San Roque  (2 km.)</t>
  </si>
  <si>
    <t xml:space="preserve">            3.3.15 Rehab. of Brgy. Road, Brgy. South Poblacion  (2 km.)</t>
  </si>
  <si>
    <t xml:space="preserve">            3.3.16 Rehab. of Brgy. Road, Brgy. Tubigon  (2 km.)</t>
  </si>
  <si>
    <t xml:space="preserve">     3.4 Rehabilitation of Farm-to-Market Roads and Bridges under BUB Projects</t>
  </si>
  <si>
    <t xml:space="preserve">            3.4.1 Base Camp-Maripo-Anahawon Road</t>
  </si>
  <si>
    <t>3. Monetization</t>
  </si>
  <si>
    <t>(Sgd.) ATTY. EUANGELI P. DOROMAL</t>
  </si>
  <si>
    <t>(Sgd.) PERLA C. LAMOSTE</t>
  </si>
  <si>
    <t>(Sgd.) ATTY. JOSE JOEL P. DOROMAL</t>
  </si>
  <si>
    <t xml:space="preserve">                          (Sgd.)  ATTY. EUANGELI P. DOROMAL                             (Sgd.) PERLA C. LAMOSTE                                (Sgd.) ATTY.  JOSE JOEL P. DOROMAL</t>
  </si>
  <si>
    <t xml:space="preserve">    (Sgd.) ATTY. EUANGELI P. DOROMAL          (Sgd.) PERLA C. LAMOSTE           (Sgd.) ATTY. JOSE JOEL P. DOROMAL</t>
  </si>
  <si>
    <t xml:space="preserve">      (Sgd.) ATTY. EUANGELI P. DOROMAL                          (Sgd.) PERLA C. LAMOSTE                                 (Sgd.)  ATTY. JOSE JOEL P. DOROMAL</t>
  </si>
  <si>
    <t xml:space="preserve">                            Municipal Administrator                                                                      Municipal Budget Officer                                                                                       Municipal Mayor</t>
  </si>
  <si>
    <t xml:space="preserve">                 (Sgd.) ATTY. EUANGELI P. DOROMAL                                         </t>
  </si>
  <si>
    <t xml:space="preserve">(Sgd.) ATTY. JOSE JOEL P. DOROMAL   </t>
  </si>
  <si>
    <t xml:space="preserve">                              Municipal Administrator                                                             </t>
  </si>
  <si>
    <t xml:space="preserve">                   Municipal Administrator                                                               Municipal Budget Officer </t>
  </si>
  <si>
    <t>(Sgd.) ATTY. EUANGELI P. DOROMAL      (Sgd.) PERLA C. LAMOSTE</t>
  </si>
  <si>
    <t xml:space="preserve">           (Sgd.) ATTY. JOSE JOEL P. DOROMAL</t>
  </si>
  <si>
    <t xml:space="preserve">                Municipal Administrator                                 Municipal Budget Officer </t>
  </si>
  <si>
    <t xml:space="preserve">                                    Municipal Mayor</t>
  </si>
  <si>
    <t>(Sgd.) RESTITUTA BUAYA</t>
  </si>
  <si>
    <t>(Sgd.) ATTY. MARIBETH E. LOPEZ</t>
  </si>
  <si>
    <t>(Sgd.) ATTY. JOE JOEL P. DOROMAL</t>
  </si>
  <si>
    <t>(Sgd.) KRISYNTHIA RAQUEL C. PADER</t>
  </si>
  <si>
    <t xml:space="preserve"> (Sgd.) PERLA C. LAMOSTE</t>
  </si>
  <si>
    <t xml:space="preserve"> (Sgd.) LUZEL S. MASUCOL</t>
  </si>
  <si>
    <t>(Sgd.) ROBERT A. LABADAN</t>
  </si>
  <si>
    <t>(Sgd.) SHIELA  C. SAGUINHON</t>
  </si>
  <si>
    <t>(Sgd.) FLORITA B. EBORA</t>
  </si>
  <si>
    <t>(Sgd.) LUZ M. CLEMENTIR, CPA</t>
  </si>
  <si>
    <t>(Sgd.) NERIJEM B. CANTIL</t>
  </si>
  <si>
    <t>(Sgd.) EVELYN A. LANTONG</t>
  </si>
  <si>
    <t>(Sgd.) AMALIA A. PROPIA, MPA</t>
  </si>
  <si>
    <t>(Sgd.) NYLL ANGELICA S.  CABUDOY</t>
  </si>
  <si>
    <t>(Sgd.) MARIEVE S. CONVOCAR</t>
  </si>
  <si>
    <t>(Sgd.) JULIUS CLARK PRISCO MORALES MACARIOLA IV</t>
  </si>
  <si>
    <t xml:space="preserve">                               Officer-In-Charge</t>
  </si>
  <si>
    <t>(Sgd.) SF04 MERLITO T RULIDA</t>
  </si>
  <si>
    <t>(Sgd.) DRA. EVANGELINE C. REVILLA, MD</t>
  </si>
  <si>
    <t>(Sgd.) DAISY A. LACUBTAN</t>
  </si>
  <si>
    <t>(Sgd.) AMELYN M. OBIAL</t>
  </si>
  <si>
    <t>(Sgd.) ENGR. TIBURCIO R. MACALAM, JR.</t>
  </si>
  <si>
    <t>(Sgd.) MARIA FE T. MACANIM, CE, MGA</t>
  </si>
  <si>
    <t>(Sgd.) FERMIN P. SINET</t>
  </si>
  <si>
    <t xml:space="preserve">(Sgd.) PERLA C. LAMOSTE </t>
  </si>
  <si>
    <t xml:space="preserve">We hereby certify that we have reviewed the contents and hereby attest to the veracity and correctness of the data or information contained in this document. </t>
  </si>
  <si>
    <t>Local Budget Preparation Form No. 1</t>
  </si>
  <si>
    <t>BUDGET OF EXPENDITURES AND SOURCES OF FINANCING</t>
  </si>
  <si>
    <t>MARAMAG, BUKIDNON</t>
  </si>
  <si>
    <t>Province/City/Municipality</t>
  </si>
  <si>
    <t>GENERAL FUND</t>
  </si>
  <si>
    <t>Particulars</t>
  </si>
  <si>
    <t>Income</t>
  </si>
  <si>
    <t>Current Year 2022 Appropriation</t>
  </si>
  <si>
    <t>Classification</t>
  </si>
  <si>
    <t>I. BEGINNING CASH BALANCE</t>
  </si>
  <si>
    <t>Surplus/Retained Earnings</t>
  </si>
  <si>
    <t>Surplus/Adjustments - Others</t>
  </si>
  <si>
    <t>Continuing Appropriations</t>
  </si>
  <si>
    <t>II. RECEIPTS</t>
  </si>
  <si>
    <t>A. Local Sources</t>
  </si>
  <si>
    <t>1. Tax Revenue</t>
  </si>
  <si>
    <t>a. Amusement Tax</t>
  </si>
  <si>
    <t>4-01-03-060</t>
  </si>
  <si>
    <t>NR</t>
  </si>
  <si>
    <t>b. Business Tax</t>
  </si>
  <si>
    <t>4-01-03-030</t>
  </si>
  <si>
    <t>R</t>
  </si>
  <si>
    <t>c. Community Tax</t>
  </si>
  <si>
    <t>4-01-01-050</t>
  </si>
  <si>
    <t>d. Real Property Tax - Basic</t>
  </si>
  <si>
    <t>4-01-02-040</t>
  </si>
  <si>
    <t>e. Tax on Sand, Gravel &amp; Other Quarry Products</t>
  </si>
  <si>
    <t>4-01-03-040</t>
  </si>
  <si>
    <t>f. Other Taxes</t>
  </si>
  <si>
    <t>4-01-04-990</t>
  </si>
  <si>
    <t>g. Tax Revenue-Fines &amp; Penalties-Property Taxes</t>
  </si>
  <si>
    <t>4-01-05-020</t>
  </si>
  <si>
    <t>h. Tax Revenue-Fines &amp; Penalties-Taxes in Individual &amp; Corps</t>
  </si>
  <si>
    <t>4-01-05-010</t>
  </si>
  <si>
    <t>i. Tax Revenue-Fines &amp; Penalties-Goods &amp; Services</t>
  </si>
  <si>
    <t>4-01-05-030</t>
  </si>
  <si>
    <t>j. Tax Revenue-Fines &amp; Penalties-Other Taxes</t>
  </si>
  <si>
    <t>4-01-05-040</t>
  </si>
  <si>
    <t xml:space="preserve">Total Tax Revenue </t>
  </si>
  <si>
    <t>2. Non-Tax Revenue</t>
  </si>
  <si>
    <t>a. Regulatory Fees</t>
  </si>
  <si>
    <t>1. Fees for Sealing &amp; Licensing of Weights &amp; Measures</t>
  </si>
  <si>
    <t>4-02-01-160</t>
  </si>
  <si>
    <t>2. Permit Fees</t>
  </si>
  <si>
    <t>4-02-01-010</t>
  </si>
  <si>
    <t>3. Occupation Fees</t>
  </si>
  <si>
    <t>4-02-01-140</t>
  </si>
  <si>
    <t>4. Registration Fees</t>
  </si>
  <si>
    <t>4-02-01-020</t>
  </si>
  <si>
    <t>5. Fines and Penalties - Service Income</t>
  </si>
  <si>
    <t>4-02-01-980</t>
  </si>
  <si>
    <t>b. Business and Service Income</t>
  </si>
  <si>
    <t>1. Affiliation Fees</t>
  </si>
  <si>
    <t>4-02-02-020</t>
  </si>
  <si>
    <t>2. Clearance and Certification Fees</t>
  </si>
  <si>
    <t>4-02-01-040</t>
  </si>
  <si>
    <t>3. Registration Plates, Tags and Stickers Fees</t>
  </si>
  <si>
    <t>4-02-01-030</t>
  </si>
  <si>
    <t>4. Garbage Fees</t>
  </si>
  <si>
    <t>4-02-02-190</t>
  </si>
  <si>
    <t>5. Inspection Fees</t>
  </si>
  <si>
    <t>4-02-01-100</t>
  </si>
  <si>
    <t>6. Hospital Fees (Medical, Dental &amp; Lab. Fees)</t>
  </si>
  <si>
    <t>4-02-02-200</t>
  </si>
  <si>
    <t>7. Road Network Fees</t>
  </si>
  <si>
    <t>4-02-02-080</t>
  </si>
  <si>
    <t>8. Other Service Income</t>
  </si>
  <si>
    <t>4-02-01-990</t>
  </si>
  <si>
    <t>9. Receipts from Cemetery Operations</t>
  </si>
  <si>
    <t>4-02-02-160</t>
  </si>
  <si>
    <t>10. Rent Income</t>
  </si>
  <si>
    <t>4-02-02-050</t>
  </si>
  <si>
    <t xml:space="preserve">11. School Fees </t>
  </si>
  <si>
    <t>4-02-02-010</t>
  </si>
  <si>
    <t>12. Fines and Penalties -Business Income</t>
  </si>
  <si>
    <t>4-02-02-980</t>
  </si>
  <si>
    <t>13. Other Business Income</t>
  </si>
  <si>
    <t>4-02-02-990</t>
  </si>
  <si>
    <t>14. Verification and Authentication Fees</t>
  </si>
  <si>
    <t>4-02-01-110</t>
  </si>
  <si>
    <t>15. Supervision and Regulation Enforcement Fees</t>
  </si>
  <si>
    <t>4-02-01-070</t>
  </si>
  <si>
    <t>c. Other Income/Receipts</t>
  </si>
  <si>
    <t>1. Grants and Donations in Cash</t>
  </si>
  <si>
    <t>4-04-02-010</t>
  </si>
  <si>
    <t>2. Interest Income</t>
  </si>
  <si>
    <t>4-02-02-220</t>
  </si>
  <si>
    <t>3. Gain on Sale of Biological Assets</t>
  </si>
  <si>
    <t>4-05-01-070</t>
  </si>
  <si>
    <t>4. Miscellaneous Income</t>
  </si>
  <si>
    <t>4-06-01-010</t>
  </si>
  <si>
    <t>Total Non-Tax Revenue</t>
  </si>
  <si>
    <t>Total Local Sources</t>
  </si>
  <si>
    <t>B. External Sources</t>
  </si>
  <si>
    <t>1. Share from Internal Revenue Collections (IRA)</t>
  </si>
  <si>
    <t>4-01-06-010</t>
  </si>
  <si>
    <t>2. Share from National Tax Allotment (NTA)</t>
  </si>
  <si>
    <t>3. Share from Expanded Value Added Tax</t>
  </si>
  <si>
    <t>4-01-06-020</t>
  </si>
  <si>
    <t>4. Share from PCSO</t>
  </si>
  <si>
    <t>4-04-01-020</t>
  </si>
  <si>
    <t>5. Grants and Donations in Kind</t>
  </si>
  <si>
    <t>6. Subsidy from National Government</t>
  </si>
  <si>
    <t>7. Other Share from National Tax Collection</t>
  </si>
  <si>
    <t>a. Share from National Wealth</t>
  </si>
  <si>
    <t>4-01-06-030</t>
  </si>
  <si>
    <t>b. Philippine Coconut Authority</t>
  </si>
  <si>
    <t>Total External Sources</t>
  </si>
  <si>
    <t>C. Other Receipts</t>
  </si>
  <si>
    <t>1. Income of Local Economic Enterprise</t>
  </si>
  <si>
    <t>a. Parking Fees</t>
  </si>
  <si>
    <t>4-02-02-120</t>
  </si>
  <si>
    <t>b. Income from Market</t>
  </si>
  <si>
    <t>4-02-02-140</t>
  </si>
  <si>
    <t>b.1 Receipts from Market Operation</t>
  </si>
  <si>
    <t>b.2 Rent/Lease Income</t>
  </si>
  <si>
    <t>b.3 Receipts from Fish Landing Operations</t>
  </si>
  <si>
    <t>c. Receipts from Slaughterhouse Operation</t>
  </si>
  <si>
    <t>4-02-02-150</t>
  </si>
  <si>
    <t>Total Other Receipts</t>
  </si>
  <si>
    <t>Total Receipts</t>
  </si>
  <si>
    <t>TOTAL AVAILABLE RESOURCES</t>
  </si>
  <si>
    <t>FOR APPROPRIATION</t>
  </si>
  <si>
    <t>III. EXPENDITURES</t>
  </si>
  <si>
    <t>Salaries and Wages</t>
  </si>
  <si>
    <t>Cultural &amp; Athletic Act.  P 1,500.00 apil J.O.</t>
  </si>
  <si>
    <t xml:space="preserve">        Salaries and Wages - Regular</t>
  </si>
  <si>
    <t xml:space="preserve">        Salaries and Wages - Casual/ Contractual</t>
  </si>
  <si>
    <t>Other Compensation</t>
  </si>
  <si>
    <t xml:space="preserve">        Personal Economic Relief Allowance (PERA)</t>
  </si>
  <si>
    <t xml:space="preserve">        Representation Allowance (RA)</t>
  </si>
  <si>
    <t xml:space="preserve">        Transportation Allowance (TA)</t>
  </si>
  <si>
    <t xml:space="preserve">        Clothing/ Uniform Allowance</t>
  </si>
  <si>
    <t xml:space="preserve">        Subsistence Allowance</t>
  </si>
  <si>
    <t xml:space="preserve">        Laundry Allowance</t>
  </si>
  <si>
    <t xml:space="preserve">        Hazard Pay</t>
  </si>
  <si>
    <t xml:space="preserve">        Cash Gift</t>
  </si>
  <si>
    <t xml:space="preserve">        Year End Bonus</t>
  </si>
  <si>
    <t>Other Bonuses and Allowances</t>
  </si>
  <si>
    <t xml:space="preserve">- Mid-Year Bonus </t>
  </si>
  <si>
    <t>-Anniversary Bonus</t>
  </si>
  <si>
    <t xml:space="preserve">        Retirement and Life Insurance Premiums</t>
  </si>
  <si>
    <t xml:space="preserve">        Pag-IBIG Contributions</t>
  </si>
  <si>
    <t xml:space="preserve">        PhilHealth Contributions</t>
  </si>
  <si>
    <t xml:space="preserve">        Employees Compensation Insurance Premiums</t>
  </si>
  <si>
    <t xml:space="preserve">        Terminal Leave Benefits</t>
  </si>
  <si>
    <t xml:space="preserve">        Honoraria</t>
  </si>
  <si>
    <t xml:space="preserve">        Other Personnel Benefits</t>
  </si>
  <si>
    <t xml:space="preserve">-Other Personnel Benefits-CNA </t>
  </si>
  <si>
    <t>-Other Personnel Benefits-SRI-Service Recognition Incentives</t>
  </si>
  <si>
    <t>- Reserve for Salry Increase/Adjustment</t>
  </si>
  <si>
    <t>- Productivity Enhancement Incentive (PEI)</t>
  </si>
  <si>
    <t>- Performance-Based Bonus</t>
  </si>
  <si>
    <t>- Monetization</t>
  </si>
  <si>
    <t>- Loyalty Cash Award</t>
  </si>
  <si>
    <t xml:space="preserve">        Animal/Zoological Supplies Expenses</t>
  </si>
  <si>
    <t xml:space="preserve">        Cable, Satellite, Telegraph and Rado Expenses</t>
  </si>
  <si>
    <t xml:space="preserve">        Auditing Services</t>
  </si>
  <si>
    <t xml:space="preserve">        Repairs and Maint. - Building &amp; Other Structures</t>
  </si>
  <si>
    <t xml:space="preserve">        Repairs and Maint. - Infrastucture Assets</t>
  </si>
  <si>
    <t xml:space="preserve">        Extraordinary &amp; Miscellaneous Expenses (Discretionary)</t>
  </si>
  <si>
    <t xml:space="preserve">        Subsidy-Others</t>
  </si>
  <si>
    <t xml:space="preserve">        Subsidy to Other Funds</t>
  </si>
  <si>
    <t xml:space="preserve">        Rent/Lease Expense</t>
  </si>
  <si>
    <t xml:space="preserve">        Airconditioner</t>
  </si>
  <si>
    <t xml:space="preserve">        Heavy Duty Printer (Stickering)</t>
  </si>
  <si>
    <t xml:space="preserve">        HORIBA Water Sampling Device/Water Quality Meters</t>
  </si>
  <si>
    <t xml:space="preserve">        Recorder Phone</t>
  </si>
  <si>
    <t xml:space="preserve">        Gas Range</t>
  </si>
  <si>
    <t xml:space="preserve">        Refrigerator</t>
  </si>
  <si>
    <t xml:space="preserve">        Camera</t>
  </si>
  <si>
    <t xml:space="preserve">        Document Scanner</t>
  </si>
  <si>
    <t xml:space="preserve">        Riso Machine</t>
  </si>
  <si>
    <t xml:space="preserve">        Photocopier</t>
  </si>
  <si>
    <t xml:space="preserve">        Electric Typewrite</t>
  </si>
  <si>
    <t xml:space="preserve">        Audio System</t>
  </si>
  <si>
    <t xml:space="preserve">        Television</t>
  </si>
  <si>
    <t xml:space="preserve">        Fiber Fushion Machine</t>
  </si>
  <si>
    <t xml:space="preserve">        Installation of Aircon</t>
  </si>
  <si>
    <t xml:space="preserve">        Portable Trolley Bluetooth Speaker w/Accessories</t>
  </si>
  <si>
    <t xml:space="preserve">        Sala Set</t>
  </si>
  <si>
    <t xml:space="preserve">        Swivel Chair with Arm Rest</t>
  </si>
  <si>
    <t xml:space="preserve">        Presidential Tables and Chairs</t>
  </si>
  <si>
    <t xml:space="preserve">        Executive Table</t>
  </si>
  <si>
    <t xml:space="preserve">        Fiber Glass Ladder</t>
  </si>
  <si>
    <t xml:space="preserve">        Executive Chairs</t>
  </si>
  <si>
    <t xml:space="preserve">        Office Tables</t>
  </si>
  <si>
    <t xml:space="preserve">        Cabinets</t>
  </si>
  <si>
    <t xml:space="preserve">        Conference Table</t>
  </si>
  <si>
    <t xml:space="preserve">        Smart Television</t>
  </si>
  <si>
    <t xml:space="preserve">        Venetian Blinds</t>
  </si>
  <si>
    <t xml:space="preserve">        Desktop Computer w/ Complete Accessories</t>
  </si>
  <si>
    <t xml:space="preserve">        Laptop</t>
  </si>
  <si>
    <t xml:space="preserve">        Projector</t>
  </si>
  <si>
    <t xml:space="preserve">        Manage Switch 16 port</t>
  </si>
  <si>
    <t xml:space="preserve">        Global Positioning System (GPS)</t>
  </si>
  <si>
    <t xml:space="preserve">        Multi-Function Printer/Copier/Scanner</t>
  </si>
  <si>
    <t xml:space="preserve">        UPS 300VA with Raikit</t>
  </si>
  <si>
    <t xml:space="preserve">        Printers</t>
  </si>
  <si>
    <t xml:space="preserve">        OTDR Tester</t>
  </si>
  <si>
    <t xml:space="preserve">        CCTV</t>
  </si>
  <si>
    <t xml:space="preserve">         Portable Generator </t>
  </si>
  <si>
    <t xml:space="preserve">         Generator and Accessories</t>
  </si>
  <si>
    <t>Medical Equipment</t>
  </si>
  <si>
    <t xml:space="preserve">         Milateral Tubal Ligation</t>
  </si>
  <si>
    <t xml:space="preserve">         Operating Room Lights</t>
  </si>
  <si>
    <t xml:space="preserve">         Dressing Carriage</t>
  </si>
  <si>
    <t xml:space="preserve">        Brush Cutter</t>
  </si>
  <si>
    <t xml:space="preserve">        Anti-Septic Odor Eliminator (Water Based)</t>
  </si>
  <si>
    <t xml:space="preserve">        Water Pump</t>
  </si>
  <si>
    <t xml:space="preserve">        Heavy Duty Tent</t>
  </si>
  <si>
    <t xml:space="preserve">     Buildings</t>
  </si>
  <si>
    <t xml:space="preserve">        Establishment of M.A.R.E. Facilities</t>
  </si>
  <si>
    <t xml:space="preserve">     Construction In Progress-Land Improvements</t>
  </si>
  <si>
    <t>1-07-10-010</t>
  </si>
  <si>
    <t xml:space="preserve">        Development of Fresh Water Resources</t>
  </si>
  <si>
    <t xml:space="preserve">     Construction In Progress-Buildings &amp; Other Structures</t>
  </si>
  <si>
    <t xml:space="preserve">        Construction of LTO Comfort Room</t>
  </si>
  <si>
    <t xml:space="preserve">        Purchase of Land for National Offices</t>
  </si>
  <si>
    <t xml:space="preserve">        Concreting of Maramag Avenue from Junction</t>
  </si>
  <si>
    <t xml:space="preserve">    Pine Street to Sayre Highway, South Poblacion</t>
  </si>
  <si>
    <t xml:space="preserve">        Concreting of Toribio Coroña Street from Junction</t>
  </si>
  <si>
    <t xml:space="preserve">     Quezon Avenue to Santo Niño Street, South Poblacion</t>
  </si>
  <si>
    <t xml:space="preserve">        Concreting of Tamarind Street from Junction</t>
  </si>
  <si>
    <t xml:space="preserve">     Toribio Coroña Street to Pine Street, South Poblacion</t>
  </si>
  <si>
    <t xml:space="preserve">        Concreting of Mabini Street from Junction</t>
  </si>
  <si>
    <t xml:space="preserve">        Concreting Highway of Molave Street from</t>
  </si>
  <si>
    <t xml:space="preserve">      Junction Quezon Avenue to Santo Niño Street,</t>
  </si>
  <si>
    <t xml:space="preserve">      North Poblacion</t>
  </si>
  <si>
    <t xml:space="preserve">        Concreting of Cabinta and Real Street from</t>
  </si>
  <si>
    <t xml:space="preserve">      Junction Dionisio Micayabas Street, South Poblacion</t>
  </si>
  <si>
    <t xml:space="preserve">      Mabini Street to Pine Street, South Poblacion</t>
  </si>
  <si>
    <t xml:space="preserve">          Office Signage</t>
  </si>
  <si>
    <t xml:space="preserve">        Motorcycles</t>
  </si>
  <si>
    <t xml:space="preserve">        Service Vehicle</t>
  </si>
  <si>
    <t xml:space="preserve">        4x4 Pick-up Type</t>
  </si>
  <si>
    <t xml:space="preserve">        Multi-Cab (4x4)</t>
  </si>
  <si>
    <t xml:space="preserve">    </t>
  </si>
  <si>
    <t xml:space="preserve">        Double Cab</t>
  </si>
  <si>
    <t xml:space="preserve">     Bank Charge</t>
  </si>
  <si>
    <t>Total FINANCIAL EXPENSES</t>
  </si>
  <si>
    <t>NON-OFFICE</t>
  </si>
  <si>
    <t xml:space="preserve">     20% Local Development Fund</t>
  </si>
  <si>
    <t xml:space="preserve">     5% Mun. Disaster Risk Reduction and Management</t>
  </si>
  <si>
    <t xml:space="preserve">           Fund (MDRRMF)</t>
  </si>
  <si>
    <t xml:space="preserve">     Debt Service (Loan Repayment)</t>
  </si>
  <si>
    <t xml:space="preserve">     Non-Office Programs/Projects/Activites</t>
  </si>
  <si>
    <t xml:space="preserve">     Gender and Development Program</t>
  </si>
  <si>
    <t xml:space="preserve">     Barangay Development Fund</t>
  </si>
  <si>
    <t>Total NON-OFFICE</t>
  </si>
  <si>
    <t>Total Expenditures</t>
  </si>
  <si>
    <t>IV. Ending Balance</t>
  </si>
  <si>
    <t xml:space="preserve">We hereby certify that the information presented above are true and correct. We further certify that the foregoing estimated receipts are reasonably </t>
  </si>
  <si>
    <t>projected as collectible for the Budget Year.</t>
  </si>
  <si>
    <t xml:space="preserve">      </t>
  </si>
  <si>
    <t xml:space="preserve">              (Sgd.) NERIJEM B. CANTIL                 (Sgd.) PERLA C. LAMOSTE                     (Sgd.) ROBERT A. LABADAN                            (Sgd.) LUZ M. CLEMENTIR, CPA</t>
  </si>
  <si>
    <t xml:space="preserve">                      Municipal Treasurer                                     Municipal Budget Officer                           Mun. Planning &amp; Dev't. Coordinator                                           Municipal Accountant</t>
  </si>
  <si>
    <t>Approved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</si>
</sst>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sz val="10.5"/>
      <name val="Tahoma"/>
      <family val="2"/>
    </font>
    <font>
      <sz val="8.5"/>
      <name val="Tahoma"/>
      <family val="2"/>
    </font>
    <font>
      <sz val="11"/>
      <name val="Tahoma"/>
      <family val="2"/>
    </font>
    <font>
      <sz val="10.5"/>
      <name val="Tahoma"/>
      <family val="2"/>
    </font>
    <font>
      <i/>
      <sz val="11"/>
      <name val="Tahoma"/>
      <family val="2"/>
    </font>
    <font>
      <sz val="11.5"/>
      <name val="Tahoma"/>
      <family val="2"/>
    </font>
    <font>
      <sz val="16"/>
      <name val="Tahoma"/>
      <family val="2"/>
    </font>
    <font>
      <sz val="8"/>
      <name val="Tahoma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2"/>
      <name val="Century Gothic"/>
      <family val="2"/>
    </font>
    <font>
      <sz val="9"/>
      <name val="Arial Narrow"/>
      <family val="2"/>
    </font>
    <font>
      <b/>
      <sz val="11"/>
      <name val="Century Gothic"/>
      <family val="2"/>
    </font>
    <font>
      <sz val="11.5"/>
      <name val="Monotype Corsiva"/>
      <family val="4"/>
    </font>
    <font>
      <sz val="11"/>
      <name val="Century Gothic"/>
      <family val="2"/>
    </font>
    <font>
      <b/>
      <sz val="10.5"/>
      <name val="Century Gothic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sz val="8"/>
      <color indexed="10"/>
      <name val="Arial Narrow"/>
      <family val="2"/>
    </font>
    <font>
      <b/>
      <sz val="8"/>
      <color rgb="FFFF0000"/>
      <name val="Arial Narrow"/>
      <family val="2"/>
    </font>
    <font>
      <u val="singleAccounting"/>
      <sz val="8"/>
      <name val="Arial Narrow"/>
      <family val="2"/>
    </font>
    <font>
      <u/>
      <sz val="9"/>
      <name val="Arial Narrow"/>
      <family val="2"/>
    </font>
    <font>
      <b/>
      <u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 Narrow"/>
      <family val="2"/>
    </font>
    <font>
      <u val="singleAccounting"/>
      <sz val="9"/>
      <name val="Arial Narrow"/>
      <family val="2"/>
    </font>
    <font>
      <sz val="9"/>
      <color indexed="17"/>
      <name val="Arial Narrow"/>
      <family val="2"/>
    </font>
    <font>
      <b/>
      <sz val="8"/>
      <name val="Century Gothic"/>
      <family val="2"/>
    </font>
    <font>
      <b/>
      <sz val="8"/>
      <name val="Tahoma"/>
      <family val="2"/>
    </font>
    <font>
      <b/>
      <u/>
      <sz val="8"/>
      <name val="Tahoma"/>
      <family val="2"/>
    </font>
    <font>
      <i/>
      <sz val="8"/>
      <name val="Tahoma"/>
      <family val="2"/>
    </font>
    <font>
      <sz val="8"/>
      <name val="Monotype Corsiva"/>
      <family val="4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Tahoma"/>
      <family val="2"/>
    </font>
    <font>
      <i/>
      <sz val="10"/>
      <name val="Tahoma"/>
      <family val="2"/>
    </font>
    <font>
      <b/>
      <i/>
      <sz val="9"/>
      <name val="Arial Narrow"/>
      <family val="2"/>
    </font>
    <font>
      <b/>
      <i/>
      <sz val="9"/>
      <color rgb="FFFF0000"/>
      <name val="Arial Narrow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sz val="11.5"/>
      <name val="Tahoma"/>
      <family val="2"/>
    </font>
    <font>
      <sz val="12"/>
      <name val="Tahoma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i/>
      <sz val="8"/>
      <color theme="0"/>
      <name val="Arial Narrow"/>
      <family val="2"/>
    </font>
    <font>
      <sz val="10"/>
      <color theme="0"/>
      <name val="Tahoma"/>
      <family val="2"/>
    </font>
    <font>
      <sz val="16"/>
      <color theme="0"/>
      <name val="Tahoma"/>
      <family val="2"/>
    </font>
    <font>
      <b/>
      <sz val="12"/>
      <color theme="0"/>
      <name val="Symphony"/>
      <family val="2"/>
    </font>
    <font>
      <sz val="9"/>
      <color theme="0"/>
      <name val="Arial Narrow"/>
      <family val="2"/>
    </font>
    <font>
      <sz val="11"/>
      <color theme="0"/>
      <name val="Tahoma"/>
      <family val="2"/>
    </font>
    <font>
      <sz val="11.5"/>
      <color theme="0"/>
      <name val="Monotype Corsiva"/>
      <family val="4"/>
    </font>
    <font>
      <sz val="11.5"/>
      <color theme="0"/>
      <name val="Tahoma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8"/>
      <color theme="0"/>
      <name val="Tahoma"/>
      <family val="2"/>
    </font>
    <font>
      <sz val="9"/>
      <color theme="0"/>
      <name val="Tahoma"/>
      <family val="2"/>
    </font>
    <font>
      <i/>
      <sz val="8"/>
      <color theme="0"/>
      <name val="Tahoma"/>
      <family val="2"/>
    </font>
    <font>
      <sz val="8"/>
      <color theme="0"/>
      <name val="Calibri"/>
      <family val="2"/>
      <scheme val="minor"/>
    </font>
    <font>
      <sz val="9"/>
      <name val="Monotype Corsiva"/>
      <family val="4"/>
    </font>
    <font>
      <sz val="11"/>
      <name val="Monotype Corsiva"/>
      <family val="4"/>
    </font>
    <font>
      <i/>
      <sz val="9"/>
      <color theme="0"/>
      <name val="Arial Narrow"/>
      <family val="2"/>
    </font>
    <font>
      <b/>
      <sz val="9"/>
      <color theme="0"/>
      <name val="Arial Narrow"/>
      <family val="2"/>
    </font>
    <font>
      <b/>
      <u/>
      <sz val="9"/>
      <color theme="0"/>
      <name val="Arial Narrow"/>
      <family val="2"/>
    </font>
    <font>
      <b/>
      <u/>
      <sz val="8"/>
      <color theme="0"/>
      <name val="Arial Narrow"/>
      <family val="2"/>
    </font>
    <font>
      <u val="singleAccounting"/>
      <sz val="9"/>
      <color theme="0"/>
      <name val="Arial Narrow"/>
      <family val="2"/>
    </font>
    <font>
      <sz val="10"/>
      <name val="Arial"/>
    </font>
    <font>
      <sz val="8"/>
      <color theme="0"/>
      <name val="Arial"/>
      <family val="2"/>
    </font>
    <font>
      <b/>
      <sz val="8"/>
      <name val="Eras Bold ITC"/>
      <family val="2"/>
    </font>
    <font>
      <b/>
      <sz val="8"/>
      <name val="Maiandra GD"/>
      <family val="2"/>
    </font>
    <font>
      <b/>
      <u/>
      <sz val="8"/>
      <name val="Century Gothic"/>
      <family val="2"/>
    </font>
    <font>
      <sz val="8"/>
      <name val="Arial Unicode MS"/>
      <family val="2"/>
    </font>
    <font>
      <sz val="8"/>
      <name val="Trebuchet MS"/>
      <family val="2"/>
    </font>
    <font>
      <b/>
      <sz val="8"/>
      <name val="Eras Medium ITC"/>
      <family val="2"/>
    </font>
    <font>
      <b/>
      <sz val="8"/>
      <name val="Sylfaen"/>
      <family val="1"/>
    </font>
    <font>
      <b/>
      <sz val="8"/>
      <color theme="0"/>
      <name val="Arial"/>
      <family val="2"/>
    </font>
    <font>
      <b/>
      <sz val="8"/>
      <name val="Arial"/>
      <family val="2"/>
    </font>
    <font>
      <b/>
      <i/>
      <sz val="8"/>
      <name val="Sylfaen"/>
      <family val="1"/>
    </font>
    <font>
      <sz val="8"/>
      <name val="Sylfaen"/>
      <family val="1"/>
    </font>
    <font>
      <sz val="8"/>
      <color theme="0"/>
      <name val="Sylfaen"/>
      <family val="1"/>
    </font>
    <font>
      <sz val="8"/>
      <color theme="0"/>
      <name val="Monotype Corsiva"/>
      <family val="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9" fillId="0" borderId="0"/>
    <xf numFmtId="0" fontId="31" fillId="0" borderId="0"/>
    <xf numFmtId="0" fontId="31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87" fillId="0" borderId="0" applyFont="0" applyFill="0" applyBorder="0" applyAlignment="0" applyProtection="0"/>
  </cellStyleXfs>
  <cellXfs count="1483">
    <xf numFmtId="0" fontId="0" fillId="0" borderId="0" xfId="0"/>
    <xf numFmtId="164" fontId="7" fillId="2" borderId="0" xfId="1" applyFont="1" applyFill="1" applyBorder="1"/>
    <xf numFmtId="0" fontId="21" fillId="3" borderId="14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8" fillId="0" borderId="0" xfId="5" applyFont="1" applyBorder="1"/>
    <xf numFmtId="164" fontId="6" fillId="2" borderId="0" xfId="1" applyFont="1" applyFill="1"/>
    <xf numFmtId="164" fontId="21" fillId="2" borderId="7" xfId="1" applyFont="1" applyFill="1" applyBorder="1"/>
    <xf numFmtId="0" fontId="28" fillId="2" borderId="0" xfId="0" applyFont="1" applyFill="1"/>
    <xf numFmtId="0" fontId="28" fillId="2" borderId="0" xfId="0" applyFont="1" applyFill="1" applyAlignment="1">
      <alignment horizontal="right"/>
    </xf>
    <xf numFmtId="0" fontId="28" fillId="2" borderId="0" xfId="0" applyFont="1" applyFill="1" applyAlignment="1">
      <alignment horizontal="center"/>
    </xf>
    <xf numFmtId="0" fontId="27" fillId="2" borderId="0" xfId="0" applyFont="1" applyFill="1"/>
    <xf numFmtId="0" fontId="28" fillId="2" borderId="1" xfId="0" applyFont="1" applyFill="1" applyBorder="1"/>
    <xf numFmtId="0" fontId="28" fillId="2" borderId="2" xfId="0" applyFont="1" applyFill="1" applyBorder="1"/>
    <xf numFmtId="0" fontId="28" fillId="2" borderId="12" xfId="0" applyFont="1" applyFill="1" applyBorder="1"/>
    <xf numFmtId="0" fontId="28" fillId="3" borderId="3" xfId="0" applyFont="1" applyFill="1" applyBorder="1"/>
    <xf numFmtId="0" fontId="28" fillId="3" borderId="4" xfId="0" applyFont="1" applyFill="1" applyBorder="1"/>
    <xf numFmtId="0" fontId="28" fillId="3" borderId="14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0" fontId="28" fillId="3" borderId="10" xfId="0" applyFont="1" applyFill="1" applyBorder="1"/>
    <xf numFmtId="0" fontId="28" fillId="3" borderId="11" xfId="0" applyFont="1" applyFill="1" applyBorder="1"/>
    <xf numFmtId="0" fontId="28" fillId="3" borderId="13" xfId="0" applyFont="1" applyFill="1" applyBorder="1" applyAlignment="1">
      <alignment horizontal="center"/>
    </xf>
    <xf numFmtId="0" fontId="27" fillId="2" borderId="6" xfId="0" applyFont="1" applyFill="1" applyBorder="1"/>
    <xf numFmtId="0" fontId="28" fillId="2" borderId="7" xfId="0" applyFont="1" applyFill="1" applyBorder="1"/>
    <xf numFmtId="0" fontId="28" fillId="2" borderId="5" xfId="0" applyFont="1" applyFill="1" applyBorder="1"/>
    <xf numFmtId="0" fontId="28" fillId="2" borderId="6" xfId="0" applyFont="1" applyFill="1" applyBorder="1" applyAlignment="1">
      <alignment horizontal="right"/>
    </xf>
    <xf numFmtId="164" fontId="28" fillId="2" borderId="7" xfId="1" applyFont="1" applyFill="1" applyBorder="1"/>
    <xf numFmtId="164" fontId="28" fillId="2" borderId="6" xfId="1" applyFont="1" applyFill="1" applyBorder="1"/>
    <xf numFmtId="0" fontId="28" fillId="2" borderId="6" xfId="0" applyFont="1" applyFill="1" applyBorder="1"/>
    <xf numFmtId="0" fontId="28" fillId="2" borderId="5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right"/>
    </xf>
    <xf numFmtId="164" fontId="28" fillId="2" borderId="11" xfId="1" applyFont="1" applyFill="1" applyBorder="1"/>
    <xf numFmtId="0" fontId="37" fillId="2" borderId="7" xfId="0" applyFont="1" applyFill="1" applyBorder="1"/>
    <xf numFmtId="0" fontId="28" fillId="2" borderId="0" xfId="0" applyFont="1" applyFill="1" applyBorder="1"/>
    <xf numFmtId="0" fontId="28" fillId="2" borderId="13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right"/>
    </xf>
    <xf numFmtId="164" fontId="27" fillId="2" borderId="9" xfId="1" applyFont="1" applyFill="1" applyBorder="1"/>
    <xf numFmtId="0" fontId="28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right"/>
    </xf>
    <xf numFmtId="164" fontId="27" fillId="2" borderId="0" xfId="1" applyFont="1" applyFill="1" applyBorder="1"/>
    <xf numFmtId="0" fontId="28" fillId="2" borderId="0" xfId="0" applyFont="1" applyFill="1" applyBorder="1" applyAlignment="1">
      <alignment horizontal="right"/>
    </xf>
    <xf numFmtId="0" fontId="28" fillId="2" borderId="4" xfId="0" applyFont="1" applyFill="1" applyBorder="1"/>
    <xf numFmtId="0" fontId="28" fillId="2" borderId="12" xfId="0" applyFont="1" applyFill="1" applyBorder="1" applyAlignment="1">
      <alignment horizontal="right"/>
    </xf>
    <xf numFmtId="164" fontId="28" fillId="2" borderId="4" xfId="1" applyFont="1" applyFill="1" applyBorder="1"/>
    <xf numFmtId="164" fontId="28" fillId="2" borderId="12" xfId="1" applyFont="1" applyFill="1" applyBorder="1"/>
    <xf numFmtId="164" fontId="28" fillId="2" borderId="3" xfId="1" applyFont="1" applyFill="1" applyBorder="1"/>
    <xf numFmtId="0" fontId="28" fillId="2" borderId="3" xfId="0" applyFont="1" applyFill="1" applyBorder="1" applyAlignment="1">
      <alignment horizontal="right"/>
    </xf>
    <xf numFmtId="164" fontId="28" fillId="2" borderId="0" xfId="1" applyFont="1" applyFill="1" applyBorder="1"/>
    <xf numFmtId="0" fontId="28" fillId="4" borderId="5" xfId="0" applyFont="1" applyFill="1" applyBorder="1" applyAlignment="1">
      <alignment horizontal="center"/>
    </xf>
    <xf numFmtId="0" fontId="28" fillId="4" borderId="6" xfId="0" applyFont="1" applyFill="1" applyBorder="1"/>
    <xf numFmtId="0" fontId="28" fillId="4" borderId="7" xfId="0" applyFont="1" applyFill="1" applyBorder="1"/>
    <xf numFmtId="0" fontId="28" fillId="4" borderId="0" xfId="0" applyFont="1" applyFill="1" applyBorder="1" applyAlignment="1">
      <alignment horizontal="right"/>
    </xf>
    <xf numFmtId="164" fontId="28" fillId="4" borderId="7" xfId="1" applyFont="1" applyFill="1" applyBorder="1"/>
    <xf numFmtId="164" fontId="28" fillId="4" borderId="0" xfId="1" applyFont="1" applyFill="1" applyBorder="1"/>
    <xf numFmtId="164" fontId="28" fillId="4" borderId="6" xfId="1" applyFont="1" applyFill="1" applyBorder="1"/>
    <xf numFmtId="0" fontId="28" fillId="4" borderId="0" xfId="0" applyFont="1" applyFill="1"/>
    <xf numFmtId="0" fontId="27" fillId="2" borderId="7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left"/>
    </xf>
    <xf numFmtId="0" fontId="28" fillId="2" borderId="10" xfId="0" applyFont="1" applyFill="1" applyBorder="1"/>
    <xf numFmtId="164" fontId="28" fillId="2" borderId="1" xfId="1" applyFont="1" applyFill="1" applyBorder="1"/>
    <xf numFmtId="164" fontId="28" fillId="2" borderId="10" xfId="1" applyFont="1" applyFill="1" applyBorder="1"/>
    <xf numFmtId="0" fontId="28" fillId="2" borderId="1" xfId="0" applyFont="1" applyFill="1" applyBorder="1" applyAlignment="1">
      <alignment horizontal="right"/>
    </xf>
    <xf numFmtId="0" fontId="28" fillId="2" borderId="0" xfId="0" applyFont="1" applyFill="1" applyBorder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right"/>
    </xf>
    <xf numFmtId="164" fontId="27" fillId="2" borderId="11" xfId="1" applyFont="1" applyFill="1" applyBorder="1"/>
    <xf numFmtId="0" fontId="27" fillId="2" borderId="10" xfId="0" applyFont="1" applyFill="1" applyBorder="1" applyAlignment="1">
      <alignment horizontal="right"/>
    </xf>
    <xf numFmtId="0" fontId="27" fillId="2" borderId="3" xfId="0" applyFont="1" applyFill="1" applyBorder="1" applyAlignment="1">
      <alignment horizontal="right"/>
    </xf>
    <xf numFmtId="0" fontId="28" fillId="2" borderId="6" xfId="0" applyFont="1" applyFill="1" applyBorder="1" applyAlignment="1">
      <alignment horizontal="left"/>
    </xf>
    <xf numFmtId="164" fontId="28" fillId="2" borderId="7" xfId="1" applyFont="1" applyFill="1" applyBorder="1" applyAlignment="1">
      <alignment horizontal="center"/>
    </xf>
    <xf numFmtId="164" fontId="28" fillId="2" borderId="11" xfId="1" applyFont="1" applyFill="1" applyBorder="1" applyAlignment="1">
      <alignment horizontal="center"/>
    </xf>
    <xf numFmtId="0" fontId="27" fillId="2" borderId="6" xfId="0" applyFont="1" applyFill="1" applyBorder="1" applyAlignment="1">
      <alignment horizontal="right"/>
    </xf>
    <xf numFmtId="0" fontId="27" fillId="2" borderId="2" xfId="0" applyFont="1" applyFill="1" applyBorder="1" applyAlignment="1">
      <alignment horizontal="right"/>
    </xf>
    <xf numFmtId="0" fontId="28" fillId="2" borderId="13" xfId="0" applyFont="1" applyFill="1" applyBorder="1"/>
    <xf numFmtId="0" fontId="36" fillId="2" borderId="0" xfId="0" applyFont="1" applyFill="1"/>
    <xf numFmtId="0" fontId="36" fillId="2" borderId="0" xfId="0" applyFont="1" applyFill="1" applyAlignment="1">
      <alignment horizontal="left"/>
    </xf>
    <xf numFmtId="0" fontId="36" fillId="2" borderId="0" xfId="0" applyFont="1" applyFill="1" applyAlignment="1">
      <alignment horizontal="right"/>
    </xf>
    <xf numFmtId="0" fontId="36" fillId="2" borderId="0" xfId="0" applyFont="1" applyFill="1" applyAlignment="1">
      <alignment horizontal="center"/>
    </xf>
    <xf numFmtId="0" fontId="27" fillId="2" borderId="0" xfId="0" applyFont="1" applyFill="1" applyAlignment="1"/>
    <xf numFmtId="0" fontId="28" fillId="2" borderId="0" xfId="0" applyFont="1" applyFill="1" applyAlignment="1"/>
    <xf numFmtId="0" fontId="27" fillId="2" borderId="0" xfId="0" applyFont="1" applyFill="1" applyAlignment="1">
      <alignment horizontal="right"/>
    </xf>
    <xf numFmtId="0" fontId="27" fillId="2" borderId="6" xfId="0" applyFont="1" applyFill="1" applyBorder="1" applyAlignment="1">
      <alignment horizontal="left"/>
    </xf>
    <xf numFmtId="0" fontId="28" fillId="2" borderId="11" xfId="0" applyFont="1" applyFill="1" applyBorder="1"/>
    <xf numFmtId="0" fontId="38" fillId="2" borderId="3" xfId="0" applyFont="1" applyFill="1" applyBorder="1"/>
    <xf numFmtId="0" fontId="32" fillId="2" borderId="7" xfId="0" quotePrefix="1" applyFont="1" applyFill="1" applyBorder="1" applyAlignment="1">
      <alignment horizontal="right"/>
    </xf>
    <xf numFmtId="164" fontId="39" fillId="2" borderId="7" xfId="1" applyFont="1" applyFill="1" applyBorder="1"/>
    <xf numFmtId="0" fontId="21" fillId="2" borderId="0" xfId="0" applyFont="1" applyFill="1"/>
    <xf numFmtId="0" fontId="21" fillId="2" borderId="0" xfId="0" applyFont="1" applyFill="1" applyAlignment="1">
      <alignment horizontal="right"/>
    </xf>
    <xf numFmtId="0" fontId="21" fillId="2" borderId="0" xfId="0" applyFont="1" applyFill="1" applyAlignment="1">
      <alignment horizontal="center"/>
    </xf>
    <xf numFmtId="0" fontId="26" fillId="2" borderId="0" xfId="0" applyFont="1" applyFill="1"/>
    <xf numFmtId="0" fontId="21" fillId="2" borderId="1" xfId="0" applyFont="1" applyFill="1" applyBorder="1"/>
    <xf numFmtId="0" fontId="21" fillId="2" borderId="2" xfId="0" applyFont="1" applyFill="1" applyBorder="1"/>
    <xf numFmtId="0" fontId="21" fillId="2" borderId="12" xfId="0" applyFont="1" applyFill="1" applyBorder="1"/>
    <xf numFmtId="0" fontId="21" fillId="3" borderId="3" xfId="0" applyFont="1" applyFill="1" applyBorder="1"/>
    <xf numFmtId="0" fontId="21" fillId="3" borderId="4" xfId="0" applyFont="1" applyFill="1" applyBorder="1"/>
    <xf numFmtId="0" fontId="21" fillId="3" borderId="10" xfId="0" applyFont="1" applyFill="1" applyBorder="1"/>
    <xf numFmtId="0" fontId="21" fillId="3" borderId="11" xfId="0" applyFont="1" applyFill="1" applyBorder="1"/>
    <xf numFmtId="0" fontId="26" fillId="2" borderId="6" xfId="0" applyFont="1" applyFill="1" applyBorder="1"/>
    <xf numFmtId="0" fontId="21" fillId="2" borderId="7" xfId="0" applyFont="1" applyFill="1" applyBorder="1"/>
    <xf numFmtId="0" fontId="21" fillId="2" borderId="5" xfId="0" applyFont="1" applyFill="1" applyBorder="1"/>
    <xf numFmtId="0" fontId="21" fillId="2" borderId="6" xfId="0" applyFont="1" applyFill="1" applyBorder="1" applyAlignment="1">
      <alignment horizontal="right"/>
    </xf>
    <xf numFmtId="0" fontId="21" fillId="2" borderId="6" xfId="0" applyFont="1" applyFill="1" applyBorder="1"/>
    <xf numFmtId="0" fontId="21" fillId="2" borderId="5" xfId="0" applyFont="1" applyFill="1" applyBorder="1" applyAlignment="1">
      <alignment horizontal="center"/>
    </xf>
    <xf numFmtId="164" fontId="21" fillId="2" borderId="0" xfId="0" applyNumberFormat="1" applyFont="1" applyFill="1"/>
    <xf numFmtId="0" fontId="21" fillId="2" borderId="10" xfId="0" applyFont="1" applyFill="1" applyBorder="1" applyAlignment="1">
      <alignment horizontal="right"/>
    </xf>
    <xf numFmtId="164" fontId="21" fillId="2" borderId="11" xfId="1" applyFont="1" applyFill="1" applyBorder="1"/>
    <xf numFmtId="0" fontId="43" fillId="2" borderId="7" xfId="0" applyFont="1" applyFill="1" applyBorder="1"/>
    <xf numFmtId="164" fontId="21" fillId="2" borderId="0" xfId="1" applyFont="1" applyFill="1"/>
    <xf numFmtId="0" fontId="21" fillId="2" borderId="0" xfId="0" applyFont="1" applyFill="1" applyBorder="1"/>
    <xf numFmtId="0" fontId="26" fillId="2" borderId="8" xfId="0" applyFont="1" applyFill="1" applyBorder="1" applyAlignment="1">
      <alignment horizontal="right"/>
    </xf>
    <xf numFmtId="164" fontId="26" fillId="2" borderId="9" xfId="1" applyFont="1" applyFill="1" applyBorder="1"/>
    <xf numFmtId="0" fontId="21" fillId="2" borderId="0" xfId="0" applyFont="1" applyFill="1" applyBorder="1" applyAlignment="1">
      <alignment horizontal="right"/>
    </xf>
    <xf numFmtId="0" fontId="21" fillId="2" borderId="11" xfId="0" applyFont="1" applyFill="1" applyBorder="1"/>
    <xf numFmtId="0" fontId="21" fillId="2" borderId="13" xfId="0" applyFont="1" applyFill="1" applyBorder="1" applyAlignment="1">
      <alignment horizontal="center"/>
    </xf>
    <xf numFmtId="0" fontId="21" fillId="2" borderId="3" xfId="0" applyFont="1" applyFill="1" applyBorder="1"/>
    <xf numFmtId="0" fontId="21" fillId="2" borderId="4" xfId="0" applyFont="1" applyFill="1" applyBorder="1"/>
    <xf numFmtId="0" fontId="21" fillId="2" borderId="12" xfId="0" applyFont="1" applyFill="1" applyBorder="1" applyAlignment="1">
      <alignment horizontal="right"/>
    </xf>
    <xf numFmtId="164" fontId="21" fillId="2" borderId="4" xfId="1" applyFont="1" applyFill="1" applyBorder="1"/>
    <xf numFmtId="0" fontId="21" fillId="4" borderId="5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right"/>
    </xf>
    <xf numFmtId="0" fontId="26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right"/>
    </xf>
    <xf numFmtId="164" fontId="26" fillId="2" borderId="7" xfId="1" applyFont="1" applyFill="1" applyBorder="1"/>
    <xf numFmtId="0" fontId="21" fillId="2" borderId="6" xfId="0" applyFont="1" applyFill="1" applyBorder="1" applyAlignment="1">
      <alignment horizontal="left"/>
    </xf>
    <xf numFmtId="0" fontId="26" fillId="2" borderId="10" xfId="0" applyFont="1" applyFill="1" applyBorder="1" applyAlignment="1">
      <alignment horizontal="right"/>
    </xf>
    <xf numFmtId="164" fontId="26" fillId="2" borderId="11" xfId="1" applyFont="1" applyFill="1" applyBorder="1"/>
    <xf numFmtId="0" fontId="42" fillId="2" borderId="0" xfId="0" applyFont="1" applyFill="1"/>
    <xf numFmtId="0" fontId="42" fillId="2" borderId="0" xfId="0" applyFont="1" applyFill="1" applyAlignment="1">
      <alignment horizontal="left"/>
    </xf>
    <xf numFmtId="0" fontId="42" fillId="2" borderId="0" xfId="0" applyFont="1" applyFill="1" applyAlignment="1">
      <alignment horizontal="right"/>
    </xf>
    <xf numFmtId="0" fontId="42" fillId="2" borderId="0" xfId="0" applyFont="1" applyFill="1" applyAlignment="1">
      <alignment horizontal="center"/>
    </xf>
    <xf numFmtId="0" fontId="26" fillId="2" borderId="0" xfId="0" applyFont="1" applyFill="1" applyAlignment="1">
      <alignment horizontal="right"/>
    </xf>
    <xf numFmtId="0" fontId="26" fillId="2" borderId="0" xfId="0" applyFont="1" applyFill="1" applyAlignment="1"/>
    <xf numFmtId="0" fontId="21" fillId="2" borderId="0" xfId="0" applyFont="1" applyFill="1" applyAlignment="1"/>
    <xf numFmtId="0" fontId="33" fillId="2" borderId="3" xfId="0" applyFont="1" applyFill="1" applyBorder="1"/>
    <xf numFmtId="0" fontId="34" fillId="2" borderId="7" xfId="0" quotePrefix="1" applyFont="1" applyFill="1" applyBorder="1" applyAlignment="1">
      <alignment horizontal="right"/>
    </xf>
    <xf numFmtId="164" fontId="21" fillId="2" borderId="6" xfId="1" applyFont="1" applyFill="1" applyBorder="1"/>
    <xf numFmtId="164" fontId="44" fillId="2" borderId="7" xfId="1" applyFont="1" applyFill="1" applyBorder="1"/>
    <xf numFmtId="164" fontId="21" fillId="2" borderId="10" xfId="1" applyFont="1" applyFill="1" applyBorder="1"/>
    <xf numFmtId="0" fontId="21" fillId="2" borderId="1" xfId="0" applyFont="1" applyFill="1" applyBorder="1" applyAlignment="1">
      <alignment horizontal="right"/>
    </xf>
    <xf numFmtId="0" fontId="21" fillId="2" borderId="14" xfId="0" applyFont="1" applyFill="1" applyBorder="1"/>
    <xf numFmtId="164" fontId="21" fillId="2" borderId="7" xfId="2" applyFont="1" applyFill="1" applyBorder="1"/>
    <xf numFmtId="164" fontId="21" fillId="2" borderId="11" xfId="2" applyFont="1" applyFill="1" applyBorder="1"/>
    <xf numFmtId="164" fontId="21" fillId="2" borderId="0" xfId="2" applyFont="1" applyFill="1" applyBorder="1"/>
    <xf numFmtId="0" fontId="26" fillId="2" borderId="3" xfId="0" applyFont="1" applyFill="1" applyBorder="1" applyAlignment="1">
      <alignment horizontal="right"/>
    </xf>
    <xf numFmtId="0" fontId="21" fillId="2" borderId="12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right"/>
    </xf>
    <xf numFmtId="0" fontId="26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/>
    </xf>
    <xf numFmtId="164" fontId="26" fillId="2" borderId="0" xfId="2" applyFont="1" applyFill="1" applyBorder="1"/>
    <xf numFmtId="164" fontId="26" fillId="2" borderId="1" xfId="2" applyFont="1" applyFill="1" applyBorder="1"/>
    <xf numFmtId="164" fontId="26" fillId="2" borderId="7" xfId="2" applyFont="1" applyFill="1" applyBorder="1"/>
    <xf numFmtId="164" fontId="21" fillId="2" borderId="4" xfId="2" applyFont="1" applyFill="1" applyBorder="1"/>
    <xf numFmtId="164" fontId="26" fillId="2" borderId="9" xfId="2" applyFont="1" applyFill="1" applyBorder="1"/>
    <xf numFmtId="0" fontId="26" fillId="2" borderId="6" xfId="0" applyFont="1" applyFill="1" applyBorder="1" applyAlignment="1">
      <alignment horizontal="center"/>
    </xf>
    <xf numFmtId="164" fontId="26" fillId="2" borderId="11" xfId="2" applyFont="1" applyFill="1" applyBorder="1"/>
    <xf numFmtId="164" fontId="21" fillId="2" borderId="0" xfId="1" applyFont="1" applyFill="1" applyBorder="1"/>
    <xf numFmtId="0" fontId="21" fillId="2" borderId="0" xfId="0" applyFont="1" applyFill="1" applyAlignment="1">
      <alignment horizontal="left"/>
    </xf>
    <xf numFmtId="0" fontId="26" fillId="2" borderId="8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164" fontId="21" fillId="2" borderId="1" xfId="2" applyFont="1" applyFill="1" applyBorder="1"/>
    <xf numFmtId="0" fontId="21" fillId="2" borderId="10" xfId="0" applyFont="1" applyFill="1" applyBorder="1" applyAlignment="1">
      <alignment horizontal="left"/>
    </xf>
    <xf numFmtId="0" fontId="26" fillId="2" borderId="10" xfId="0" applyFont="1" applyFill="1" applyBorder="1" applyAlignment="1">
      <alignment horizontal="left"/>
    </xf>
    <xf numFmtId="0" fontId="26" fillId="2" borderId="0" xfId="0" applyFont="1" applyFill="1" applyAlignment="1">
      <alignment horizontal="left"/>
    </xf>
    <xf numFmtId="164" fontId="28" fillId="2" borderId="7" xfId="2" applyFont="1" applyFill="1" applyBorder="1"/>
    <xf numFmtId="164" fontId="28" fillId="2" borderId="11" xfId="2" applyFont="1" applyFill="1" applyBorder="1"/>
    <xf numFmtId="164" fontId="28" fillId="2" borderId="0" xfId="2" applyFont="1" applyFill="1"/>
    <xf numFmtId="164" fontId="27" fillId="2" borderId="9" xfId="2" applyFont="1" applyFill="1" applyBorder="1"/>
    <xf numFmtId="0" fontId="27" fillId="2" borderId="6" xfId="0" applyFont="1" applyFill="1" applyBorder="1" applyAlignment="1">
      <alignment horizontal="center"/>
    </xf>
    <xf numFmtId="164" fontId="27" fillId="2" borderId="4" xfId="2" applyFont="1" applyFill="1" applyBorder="1"/>
    <xf numFmtId="0" fontId="27" fillId="2" borderId="12" xfId="0" applyFont="1" applyFill="1" applyBorder="1" applyAlignment="1">
      <alignment horizontal="right"/>
    </xf>
    <xf numFmtId="164" fontId="27" fillId="2" borderId="11" xfId="2" applyFont="1" applyFill="1" applyBorder="1"/>
    <xf numFmtId="0" fontId="26" fillId="2" borderId="3" xfId="0" applyFont="1" applyFill="1" applyBorder="1" applyAlignment="1">
      <alignment horizontal="left"/>
    </xf>
    <xf numFmtId="164" fontId="26" fillId="2" borderId="4" xfId="1" applyFont="1" applyFill="1" applyBorder="1"/>
    <xf numFmtId="164" fontId="26" fillId="2" borderId="0" xfId="1" applyFont="1" applyFill="1" applyBorder="1"/>
    <xf numFmtId="164" fontId="21" fillId="2" borderId="11" xfId="1" applyFont="1" applyFill="1" applyBorder="1" applyAlignment="1">
      <alignment horizontal="center"/>
    </xf>
    <xf numFmtId="0" fontId="21" fillId="2" borderId="13" xfId="0" applyFont="1" applyFill="1" applyBorder="1"/>
    <xf numFmtId="0" fontId="28" fillId="2" borderId="5" xfId="0" applyFont="1" applyFill="1" applyBorder="1" applyAlignment="1">
      <alignment horizontal="center" vertical="top"/>
    </xf>
    <xf numFmtId="0" fontId="27" fillId="2" borderId="8" xfId="0" applyFont="1" applyFill="1" applyBorder="1" applyAlignment="1">
      <alignment horizontal="right" vertical="top"/>
    </xf>
    <xf numFmtId="164" fontId="27" fillId="2" borderId="9" xfId="2" applyFont="1" applyFill="1" applyBorder="1" applyAlignment="1">
      <alignment vertical="top"/>
    </xf>
    <xf numFmtId="0" fontId="26" fillId="2" borderId="3" xfId="0" applyFont="1" applyFill="1" applyBorder="1"/>
    <xf numFmtId="0" fontId="34" fillId="2" borderId="0" xfId="0" applyFont="1" applyFill="1"/>
    <xf numFmtId="164" fontId="21" fillId="2" borderId="1" xfId="1" applyFont="1" applyFill="1" applyBorder="1"/>
    <xf numFmtId="164" fontId="21" fillId="2" borderId="7" xfId="1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1" fillId="2" borderId="2" xfId="0" applyFont="1" applyFill="1" applyBorder="1" applyAlignment="1">
      <alignment horizontal="right"/>
    </xf>
    <xf numFmtId="0" fontId="21" fillId="2" borderId="1" xfId="0" applyFont="1" applyFill="1" applyBorder="1" applyAlignment="1"/>
    <xf numFmtId="0" fontId="21" fillId="2" borderId="2" xfId="0" applyFont="1" applyFill="1" applyBorder="1" applyAlignment="1"/>
    <xf numFmtId="0" fontId="21" fillId="2" borderId="12" xfId="0" applyFont="1" applyFill="1" applyBorder="1" applyAlignment="1"/>
    <xf numFmtId="0" fontId="21" fillId="3" borderId="3" xfId="0" applyFont="1" applyFill="1" applyBorder="1" applyAlignment="1"/>
    <xf numFmtId="0" fontId="21" fillId="3" borderId="4" xfId="0" applyFont="1" applyFill="1" applyBorder="1" applyAlignment="1"/>
    <xf numFmtId="0" fontId="21" fillId="3" borderId="10" xfId="0" applyFont="1" applyFill="1" applyBorder="1" applyAlignment="1"/>
    <xf numFmtId="0" fontId="21" fillId="3" borderId="11" xfId="0" applyFont="1" applyFill="1" applyBorder="1" applyAlignment="1"/>
    <xf numFmtId="0" fontId="26" fillId="2" borderId="6" xfId="0" applyFont="1" applyFill="1" applyBorder="1" applyAlignment="1"/>
    <xf numFmtId="0" fontId="21" fillId="2" borderId="7" xfId="0" applyFont="1" applyFill="1" applyBorder="1" applyAlignment="1"/>
    <xf numFmtId="0" fontId="21" fillId="2" borderId="5" xfId="0" applyFont="1" applyFill="1" applyBorder="1" applyAlignment="1"/>
    <xf numFmtId="164" fontId="21" fillId="2" borderId="7" xfId="1" applyFont="1" applyFill="1" applyBorder="1" applyAlignment="1"/>
    <xf numFmtId="0" fontId="21" fillId="2" borderId="6" xfId="0" applyFont="1" applyFill="1" applyBorder="1" applyAlignment="1"/>
    <xf numFmtId="164" fontId="21" fillId="2" borderId="11" xfId="1" applyFont="1" applyFill="1" applyBorder="1" applyAlignment="1"/>
    <xf numFmtId="164" fontId="21" fillId="2" borderId="0" xfId="0" applyNumberFormat="1" applyFont="1" applyFill="1" applyAlignment="1"/>
    <xf numFmtId="0" fontId="43" fillId="2" borderId="7" xfId="0" applyFont="1" applyFill="1" applyBorder="1" applyAlignment="1"/>
    <xf numFmtId="0" fontId="21" fillId="2" borderId="0" xfId="0" applyFont="1" applyFill="1" applyBorder="1" applyAlignment="1"/>
    <xf numFmtId="0" fontId="21" fillId="2" borderId="11" xfId="0" applyFont="1" applyFill="1" applyBorder="1" applyAlignment="1"/>
    <xf numFmtId="164" fontId="21" fillId="2" borderId="4" xfId="1" applyFont="1" applyFill="1" applyBorder="1" applyAlignment="1"/>
    <xf numFmtId="164" fontId="26" fillId="2" borderId="4" xfId="1" applyFont="1" applyFill="1" applyBorder="1" applyAlignment="1"/>
    <xf numFmtId="164" fontId="21" fillId="2" borderId="5" xfId="1" applyFont="1" applyFill="1" applyBorder="1" applyAlignment="1"/>
    <xf numFmtId="164" fontId="26" fillId="2" borderId="9" xfId="1" applyFont="1" applyFill="1" applyBorder="1" applyAlignment="1"/>
    <xf numFmtId="164" fontId="26" fillId="2" borderId="11" xfId="1" applyFont="1" applyFill="1" applyBorder="1" applyAlignment="1"/>
    <xf numFmtId="0" fontId="42" fillId="2" borderId="0" xfId="0" applyFont="1" applyFill="1" applyAlignment="1"/>
    <xf numFmtId="0" fontId="33" fillId="2" borderId="8" xfId="0" applyFont="1" applyFill="1" applyBorder="1" applyAlignment="1"/>
    <xf numFmtId="0" fontId="21" fillId="2" borderId="9" xfId="0" applyFont="1" applyFill="1" applyBorder="1" applyAlignment="1"/>
    <xf numFmtId="164" fontId="21" fillId="2" borderId="6" xfId="1" applyFont="1" applyFill="1" applyBorder="1" applyAlignment="1"/>
    <xf numFmtId="164" fontId="44" fillId="2" borderId="7" xfId="1" applyFont="1" applyFill="1" applyBorder="1" applyAlignment="1"/>
    <xf numFmtId="164" fontId="21" fillId="2" borderId="10" xfId="1" applyFont="1" applyFill="1" applyBorder="1" applyAlignment="1"/>
    <xf numFmtId="164" fontId="21" fillId="2" borderId="0" xfId="1" applyFont="1" applyFill="1" applyAlignment="1"/>
    <xf numFmtId="0" fontId="33" fillId="2" borderId="3" xfId="0" applyFont="1" applyFill="1" applyBorder="1" applyAlignment="1"/>
    <xf numFmtId="0" fontId="21" fillId="2" borderId="4" xfId="0" applyFont="1" applyFill="1" applyBorder="1" applyAlignment="1"/>
    <xf numFmtId="164" fontId="26" fillId="2" borderId="12" xfId="1" applyFont="1" applyFill="1" applyBorder="1"/>
    <xf numFmtId="164" fontId="26" fillId="2" borderId="1" xfId="1" applyFont="1" applyFill="1" applyBorder="1"/>
    <xf numFmtId="164" fontId="21" fillId="2" borderId="0" xfId="1" applyFont="1" applyFill="1" applyBorder="1" applyAlignment="1">
      <alignment horizontal="center"/>
    </xf>
    <xf numFmtId="164" fontId="21" fillId="2" borderId="7" xfId="0" applyNumberFormat="1" applyFont="1" applyFill="1" applyBorder="1"/>
    <xf numFmtId="164" fontId="21" fillId="2" borderId="11" xfId="0" applyNumberFormat="1" applyFont="1" applyFill="1" applyBorder="1"/>
    <xf numFmtId="0" fontId="21" fillId="2" borderId="3" xfId="5" applyFont="1" applyFill="1" applyBorder="1"/>
    <xf numFmtId="0" fontId="21" fillId="2" borderId="4" xfId="5" applyFont="1" applyFill="1" applyBorder="1"/>
    <xf numFmtId="0" fontId="21" fillId="2" borderId="14" xfId="5" applyFont="1" applyFill="1" applyBorder="1"/>
    <xf numFmtId="0" fontId="21" fillId="2" borderId="3" xfId="5" applyFont="1" applyFill="1" applyBorder="1" applyAlignment="1">
      <alignment horizontal="right"/>
    </xf>
    <xf numFmtId="0" fontId="21" fillId="2" borderId="0" xfId="5" applyFont="1" applyFill="1"/>
    <xf numFmtId="0" fontId="26" fillId="2" borderId="6" xfId="5" applyFont="1" applyFill="1" applyBorder="1"/>
    <xf numFmtId="0" fontId="21" fillId="2" borderId="7" xfId="5" applyFont="1" applyFill="1" applyBorder="1"/>
    <xf numFmtId="0" fontId="21" fillId="2" borderId="5" xfId="5" applyFont="1" applyFill="1" applyBorder="1"/>
    <xf numFmtId="0" fontId="21" fillId="2" borderId="6" xfId="5" applyFont="1" applyFill="1" applyBorder="1" applyAlignment="1">
      <alignment horizontal="right"/>
    </xf>
    <xf numFmtId="0" fontId="21" fillId="2" borderId="6" xfId="5" applyFont="1" applyFill="1" applyBorder="1"/>
    <xf numFmtId="0" fontId="21" fillId="2" borderId="5" xfId="5" applyFont="1" applyFill="1" applyBorder="1" applyAlignment="1">
      <alignment horizontal="center"/>
    </xf>
    <xf numFmtId="0" fontId="21" fillId="2" borderId="10" xfId="5" applyFont="1" applyFill="1" applyBorder="1" applyAlignment="1">
      <alignment horizontal="right"/>
    </xf>
    <xf numFmtId="0" fontId="21" fillId="4" borderId="5" xfId="5" applyFont="1" applyFill="1" applyBorder="1" applyAlignment="1">
      <alignment horizontal="center"/>
    </xf>
    <xf numFmtId="0" fontId="26" fillId="2" borderId="7" xfId="5" applyFont="1" applyFill="1" applyBorder="1" applyAlignment="1">
      <alignment horizontal="center"/>
    </xf>
    <xf numFmtId="0" fontId="26" fillId="2" borderId="8" xfId="5" applyFont="1" applyFill="1" applyBorder="1" applyAlignment="1">
      <alignment horizontal="right"/>
    </xf>
    <xf numFmtId="0" fontId="26" fillId="2" borderId="10" xfId="5" applyFont="1" applyFill="1" applyBorder="1" applyAlignment="1">
      <alignment horizontal="right"/>
    </xf>
    <xf numFmtId="0" fontId="26" fillId="2" borderId="6" xfId="5" applyFont="1" applyFill="1" applyBorder="1" applyAlignment="1">
      <alignment horizontal="center"/>
    </xf>
    <xf numFmtId="0" fontId="26" fillId="2" borderId="6" xfId="5" applyFont="1" applyFill="1" applyBorder="1" applyAlignment="1">
      <alignment horizontal="right"/>
    </xf>
    <xf numFmtId="0" fontId="26" fillId="2" borderId="6" xfId="5" applyFont="1" applyFill="1" applyBorder="1" applyAlignment="1">
      <alignment horizontal="left"/>
    </xf>
    <xf numFmtId="0" fontId="21" fillId="2" borderId="6" xfId="5" applyFont="1" applyFill="1" applyBorder="1" applyAlignment="1">
      <alignment horizontal="left"/>
    </xf>
    <xf numFmtId="0" fontId="26" fillId="2" borderId="0" xfId="5" applyFont="1" applyFill="1" applyBorder="1" applyAlignment="1">
      <alignment horizontal="center"/>
    </xf>
    <xf numFmtId="0" fontId="21" fillId="2" borderId="13" xfId="5" applyFont="1" applyFill="1" applyBorder="1" applyAlignment="1">
      <alignment horizontal="center"/>
    </xf>
    <xf numFmtId="0" fontId="21" fillId="2" borderId="0" xfId="5" applyFont="1" applyFill="1" applyAlignment="1">
      <alignment horizontal="right"/>
    </xf>
    <xf numFmtId="0" fontId="26" fillId="2" borderId="0" xfId="5" applyFont="1" applyFill="1"/>
    <xf numFmtId="0" fontId="21" fillId="2" borderId="1" xfId="5" applyFont="1" applyFill="1" applyBorder="1"/>
    <xf numFmtId="0" fontId="21" fillId="2" borderId="2" xfId="5" applyFont="1" applyFill="1" applyBorder="1"/>
    <xf numFmtId="0" fontId="21" fillId="3" borderId="3" xfId="5" applyFont="1" applyFill="1" applyBorder="1"/>
    <xf numFmtId="0" fontId="21" fillId="3" borderId="4" xfId="5" applyFont="1" applyFill="1" applyBorder="1"/>
    <xf numFmtId="0" fontId="21" fillId="3" borderId="14" xfId="5" applyFont="1" applyFill="1" applyBorder="1" applyAlignment="1">
      <alignment horizontal="center"/>
    </xf>
    <xf numFmtId="0" fontId="21" fillId="3" borderId="5" xfId="5" applyFont="1" applyFill="1" applyBorder="1" applyAlignment="1">
      <alignment horizontal="center"/>
    </xf>
    <xf numFmtId="0" fontId="21" fillId="3" borderId="10" xfId="5" applyFont="1" applyFill="1" applyBorder="1"/>
    <xf numFmtId="0" fontId="21" fillId="3" borderId="11" xfId="5" applyFont="1" applyFill="1" applyBorder="1"/>
    <xf numFmtId="0" fontId="21" fillId="3" borderId="13" xfId="5" applyFont="1" applyFill="1" applyBorder="1" applyAlignment="1">
      <alignment horizontal="center"/>
    </xf>
    <xf numFmtId="0" fontId="21" fillId="2" borderId="0" xfId="5" applyFont="1" applyFill="1" applyBorder="1"/>
    <xf numFmtId="0" fontId="21" fillId="2" borderId="0" xfId="5" applyFont="1" applyFill="1" applyBorder="1" applyAlignment="1">
      <alignment horizontal="right"/>
    </xf>
    <xf numFmtId="0" fontId="42" fillId="2" borderId="0" xfId="5" applyFont="1" applyFill="1"/>
    <xf numFmtId="0" fontId="42" fillId="2" borderId="0" xfId="5" applyFont="1" applyFill="1" applyAlignment="1">
      <alignment horizontal="left"/>
    </xf>
    <xf numFmtId="0" fontId="42" fillId="2" borderId="0" xfId="5" applyFont="1" applyFill="1" applyAlignment="1">
      <alignment horizontal="right"/>
    </xf>
    <xf numFmtId="0" fontId="42" fillId="2" borderId="0" xfId="5" applyFont="1" applyFill="1" applyAlignment="1">
      <alignment horizontal="center"/>
    </xf>
    <xf numFmtId="0" fontId="26" fillId="2" borderId="0" xfId="5" applyFont="1" applyFill="1" applyAlignment="1">
      <alignment horizontal="center"/>
    </xf>
    <xf numFmtId="0" fontId="26" fillId="2" borderId="0" xfId="5" applyFont="1" applyFill="1" applyAlignment="1">
      <alignment horizontal="right"/>
    </xf>
    <xf numFmtId="0" fontId="21" fillId="2" borderId="7" xfId="0" applyFont="1" applyFill="1" applyBorder="1" applyAlignment="1">
      <alignment horizontal="left"/>
    </xf>
    <xf numFmtId="0" fontId="21" fillId="2" borderId="0" xfId="0" applyFont="1" applyFill="1" applyAlignment="1">
      <alignment vertical="center"/>
    </xf>
    <xf numFmtId="0" fontId="21" fillId="2" borderId="0" xfId="5" applyFont="1" applyFill="1" applyAlignment="1">
      <alignment horizontal="center"/>
    </xf>
    <xf numFmtId="0" fontId="21" fillId="2" borderId="1" xfId="5" applyFont="1" applyFill="1" applyBorder="1" applyAlignment="1">
      <alignment horizontal="right"/>
    </xf>
    <xf numFmtId="0" fontId="21" fillId="2" borderId="2" xfId="5" applyFont="1" applyFill="1" applyBorder="1" applyAlignment="1">
      <alignment horizontal="right"/>
    </xf>
    <xf numFmtId="0" fontId="21" fillId="2" borderId="12" xfId="5" applyFont="1" applyFill="1" applyBorder="1"/>
    <xf numFmtId="0" fontId="21" fillId="2" borderId="12" xfId="5" applyFont="1" applyFill="1" applyBorder="1" applyAlignment="1">
      <alignment horizontal="right"/>
    </xf>
    <xf numFmtId="164" fontId="21" fillId="2" borderId="7" xfId="5" applyNumberFormat="1" applyFont="1" applyFill="1" applyBorder="1"/>
    <xf numFmtId="164" fontId="21" fillId="2" borderId="11" xfId="5" applyNumberFormat="1" applyFont="1" applyFill="1" applyBorder="1"/>
    <xf numFmtId="0" fontId="43" fillId="2" borderId="7" xfId="5" applyFont="1" applyFill="1" applyBorder="1"/>
    <xf numFmtId="0" fontId="21" fillId="2" borderId="0" xfId="5" applyFont="1" applyFill="1" applyBorder="1" applyAlignment="1">
      <alignment horizontal="center"/>
    </xf>
    <xf numFmtId="0" fontId="26" fillId="2" borderId="0" xfId="5" applyFont="1" applyFill="1" applyBorder="1" applyAlignment="1">
      <alignment horizontal="right"/>
    </xf>
    <xf numFmtId="0" fontId="26" fillId="2" borderId="0" xfId="5" applyFont="1" applyFill="1" applyAlignment="1"/>
    <xf numFmtId="0" fontId="26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7" xfId="5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right" vertical="center"/>
    </xf>
    <xf numFmtId="164" fontId="26" fillId="2" borderId="9" xfId="1" applyFont="1" applyFill="1" applyBorder="1" applyAlignment="1">
      <alignment vertical="center"/>
    </xf>
    <xf numFmtId="0" fontId="26" fillId="2" borderId="12" xfId="0" applyFont="1" applyFill="1" applyBorder="1" applyAlignment="1">
      <alignment horizontal="center"/>
    </xf>
    <xf numFmtId="0" fontId="28" fillId="0" borderId="1" xfId="5" applyFont="1" applyBorder="1"/>
    <xf numFmtId="0" fontId="27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164" fontId="21" fillId="2" borderId="5" xfId="1" applyFont="1" applyFill="1" applyBorder="1"/>
    <xf numFmtId="0" fontId="42" fillId="2" borderId="0" xfId="0" applyFont="1" applyFill="1" applyBorder="1"/>
    <xf numFmtId="0" fontId="42" fillId="2" borderId="0" xfId="0" applyFont="1" applyFill="1" applyBorder="1" applyAlignment="1">
      <alignment horizontal="left"/>
    </xf>
    <xf numFmtId="0" fontId="42" fillId="2" borderId="0" xfId="0" applyFont="1" applyFill="1" applyBorder="1" applyAlignment="1">
      <alignment horizontal="right"/>
    </xf>
    <xf numFmtId="0" fontId="21" fillId="2" borderId="7" xfId="5" applyFont="1" applyFill="1" applyBorder="1" applyAlignment="1">
      <alignment horizontal="left"/>
    </xf>
    <xf numFmtId="0" fontId="26" fillId="2" borderId="7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164" fontId="26" fillId="4" borderId="7" xfId="1" applyFont="1" applyFill="1" applyBorder="1"/>
    <xf numFmtId="164" fontId="28" fillId="2" borderId="7" xfId="1" applyFont="1" applyFill="1" applyBorder="1" applyAlignment="1">
      <alignment horizontal="right"/>
    </xf>
    <xf numFmtId="164" fontId="27" fillId="2" borderId="9" xfId="1" applyFont="1" applyFill="1" applyBorder="1" applyAlignment="1">
      <alignment horizontal="center"/>
    </xf>
    <xf numFmtId="164" fontId="36" fillId="2" borderId="4" xfId="1" applyFont="1" applyFill="1" applyBorder="1" applyAlignment="1">
      <alignment horizontal="center"/>
    </xf>
    <xf numFmtId="164" fontId="28" fillId="2" borderId="11" xfId="1" applyFont="1" applyFill="1" applyBorder="1" applyAlignment="1">
      <alignment horizontal="right"/>
    </xf>
    <xf numFmtId="164" fontId="28" fillId="2" borderId="4" xfId="1" applyFont="1" applyFill="1" applyBorder="1" applyAlignment="1">
      <alignment horizontal="right"/>
    </xf>
    <xf numFmtId="164" fontId="28" fillId="4" borderId="7" xfId="1" applyFont="1" applyFill="1" applyBorder="1" applyAlignment="1">
      <alignment horizontal="center" vertical="center"/>
    </xf>
    <xf numFmtId="164" fontId="28" fillId="4" borderId="7" xfId="1" applyFont="1" applyFill="1" applyBorder="1" applyAlignment="1">
      <alignment horizontal="right" vertical="center"/>
    </xf>
    <xf numFmtId="164" fontId="15" fillId="2" borderId="0" xfId="1" applyFont="1" applyFill="1"/>
    <xf numFmtId="164" fontId="6" fillId="2" borderId="0" xfId="1" applyFont="1" applyFill="1" applyAlignment="1">
      <alignment horizontal="right"/>
    </xf>
    <xf numFmtId="164" fontId="8" fillId="2" borderId="0" xfId="1" applyFont="1" applyFill="1" applyAlignment="1"/>
    <xf numFmtId="164" fontId="6" fillId="2" borderId="0" xfId="1" applyFont="1" applyFill="1" applyBorder="1" applyAlignment="1">
      <alignment horizontal="right"/>
    </xf>
    <xf numFmtId="164" fontId="7" fillId="2" borderId="0" xfId="1" applyFont="1" applyFill="1" applyBorder="1" applyAlignment="1">
      <alignment horizontal="right"/>
    </xf>
    <xf numFmtId="164" fontId="13" fillId="2" borderId="0" xfId="1" applyFont="1" applyFill="1"/>
    <xf numFmtId="164" fontId="11" fillId="2" borderId="0" xfId="1" applyFont="1" applyFill="1"/>
    <xf numFmtId="164" fontId="23" fillId="2" borderId="0" xfId="1" applyFont="1" applyFill="1" applyAlignment="1"/>
    <xf numFmtId="164" fontId="28" fillId="0" borderId="7" xfId="1" applyFont="1" applyBorder="1" applyAlignment="1" applyProtection="1">
      <alignment vertical="center"/>
      <protection locked="0"/>
    </xf>
    <xf numFmtId="164" fontId="28" fillId="4" borderId="7" xfId="1" applyFont="1" applyFill="1" applyBorder="1" applyAlignment="1">
      <alignment horizontal="right"/>
    </xf>
    <xf numFmtId="164" fontId="28" fillId="0" borderId="7" xfId="1" applyFont="1" applyFill="1" applyBorder="1" applyAlignment="1" applyProtection="1">
      <alignment vertical="center"/>
      <protection locked="0"/>
    </xf>
    <xf numFmtId="164" fontId="28" fillId="4" borderId="7" xfId="1" applyFont="1" applyFill="1" applyBorder="1" applyAlignment="1" applyProtection="1">
      <alignment vertical="center"/>
      <protection locked="0"/>
    </xf>
    <xf numFmtId="164" fontId="28" fillId="0" borderId="0" xfId="1" applyFont="1" applyBorder="1" applyAlignment="1" applyProtection="1">
      <alignment vertical="center"/>
      <protection locked="0"/>
    </xf>
    <xf numFmtId="164" fontId="28" fillId="0" borderId="6" xfId="1" applyFont="1" applyBorder="1" applyAlignment="1">
      <alignment vertical="center"/>
    </xf>
    <xf numFmtId="164" fontId="28" fillId="0" borderId="7" xfId="1" applyFont="1" applyBorder="1" applyAlignment="1">
      <alignment vertical="center"/>
    </xf>
    <xf numFmtId="164" fontId="28" fillId="0" borderId="11" xfId="1" applyFont="1" applyBorder="1" applyAlignment="1" applyProtection="1">
      <alignment vertical="center"/>
      <protection locked="0"/>
    </xf>
    <xf numFmtId="164" fontId="28" fillId="0" borderId="7" xfId="1" applyFont="1" applyBorder="1" applyAlignment="1">
      <alignment horizontal="center" vertical="center"/>
    </xf>
    <xf numFmtId="164" fontId="28" fillId="0" borderId="7" xfId="1" applyFont="1" applyBorder="1" applyAlignment="1">
      <alignment horizontal="right" vertical="center"/>
    </xf>
    <xf numFmtId="164" fontId="28" fillId="2" borderId="5" xfId="1" applyFont="1" applyFill="1" applyBorder="1" applyAlignment="1">
      <alignment horizontal="center"/>
    </xf>
    <xf numFmtId="164" fontId="28" fillId="4" borderId="5" xfId="1" applyFont="1" applyFill="1" applyBorder="1" applyAlignment="1">
      <alignment horizontal="center"/>
    </xf>
    <xf numFmtId="164" fontId="28" fillId="2" borderId="13" xfId="1" applyFont="1" applyFill="1" applyBorder="1" applyAlignment="1">
      <alignment horizontal="center"/>
    </xf>
    <xf numFmtId="164" fontId="27" fillId="2" borderId="13" xfId="1" applyFont="1" applyFill="1" applyBorder="1" applyAlignment="1">
      <alignment horizontal="center"/>
    </xf>
    <xf numFmtId="164" fontId="7" fillId="2" borderId="0" xfId="1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164" fontId="21" fillId="2" borderId="0" xfId="1" applyFont="1" applyFill="1" applyAlignment="1">
      <alignment horizontal="right"/>
    </xf>
    <xf numFmtId="164" fontId="21" fillId="2" borderId="0" xfId="1" applyFont="1" applyFill="1" applyBorder="1" applyAlignment="1">
      <alignment horizontal="right"/>
    </xf>
    <xf numFmtId="164" fontId="36" fillId="2" borderId="7" xfId="1" applyFont="1" applyFill="1" applyBorder="1" applyAlignment="1">
      <alignment horizontal="center"/>
    </xf>
    <xf numFmtId="164" fontId="28" fillId="2" borderId="0" xfId="1" applyFont="1" applyFill="1"/>
    <xf numFmtId="164" fontId="26" fillId="2" borderId="0" xfId="1" applyFont="1" applyFill="1" applyAlignment="1">
      <alignment horizontal="right"/>
    </xf>
    <xf numFmtId="0" fontId="26" fillId="2" borderId="7" xfId="0" applyFont="1" applyFill="1" applyBorder="1" applyAlignment="1">
      <alignment horizontal="center"/>
    </xf>
    <xf numFmtId="0" fontId="21" fillId="0" borderId="5" xfId="0" applyFont="1" applyBorder="1" applyAlignment="1">
      <alignment vertical="center"/>
    </xf>
    <xf numFmtId="0" fontId="26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7" xfId="5" applyFont="1" applyFill="1" applyBorder="1" applyAlignment="1">
      <alignment horizontal="center"/>
    </xf>
    <xf numFmtId="0" fontId="26" fillId="2" borderId="7" xfId="0" applyFont="1" applyFill="1" applyBorder="1" applyAlignment="1">
      <alignment horizontal="left"/>
    </xf>
    <xf numFmtId="164" fontId="26" fillId="2" borderId="4" xfId="2" applyFont="1" applyFill="1" applyBorder="1"/>
    <xf numFmtId="0" fontId="21" fillId="2" borderId="5" xfId="0" applyFont="1" applyFill="1" applyBorder="1" applyAlignment="1">
      <alignment horizontal="left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164" fontId="28" fillId="2" borderId="6" xfId="1" applyFont="1" applyFill="1" applyBorder="1" applyAlignment="1">
      <alignment horizontal="center"/>
    </xf>
    <xf numFmtId="164" fontId="28" fillId="2" borderId="0" xfId="1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1" fillId="0" borderId="0" xfId="5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center"/>
    </xf>
    <xf numFmtId="164" fontId="21" fillId="4" borderId="11" xfId="1" applyFont="1" applyFill="1" applyBorder="1"/>
    <xf numFmtId="0" fontId="26" fillId="2" borderId="0" xfId="0" applyFont="1" applyFill="1" applyBorder="1" applyAlignment="1">
      <alignment horizontal="center"/>
    </xf>
    <xf numFmtId="164" fontId="21" fillId="4" borderId="7" xfId="1" applyFont="1" applyFill="1" applyBorder="1"/>
    <xf numFmtId="0" fontId="27" fillId="2" borderId="7" xfId="0" applyFont="1" applyFill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64" fontId="28" fillId="2" borderId="6" xfId="1" applyFont="1" applyFill="1" applyBorder="1" applyAlignment="1">
      <alignment horizontal="center"/>
    </xf>
    <xf numFmtId="164" fontId="28" fillId="2" borderId="0" xfId="1" applyFont="1" applyFill="1" applyBorder="1" applyAlignment="1">
      <alignment horizontal="center"/>
    </xf>
    <xf numFmtId="164" fontId="28" fillId="4" borderId="11" xfId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/>
    <xf numFmtId="0" fontId="21" fillId="4" borderId="0" xfId="0" applyFont="1" applyFill="1" applyBorder="1" applyAlignment="1">
      <alignment horizontal="right"/>
    </xf>
    <xf numFmtId="0" fontId="26" fillId="4" borderId="0" xfId="0" applyFont="1" applyFill="1" applyBorder="1"/>
    <xf numFmtId="164" fontId="21" fillId="4" borderId="0" xfId="1" applyFont="1" applyFill="1" applyBorder="1"/>
    <xf numFmtId="0" fontId="26" fillId="4" borderId="0" xfId="0" applyFont="1" applyFill="1" applyBorder="1" applyAlignment="1">
      <alignment horizontal="right"/>
    </xf>
    <xf numFmtId="164" fontId="26" fillId="4" borderId="0" xfId="1" applyFont="1" applyFill="1" applyBorder="1"/>
    <xf numFmtId="0" fontId="26" fillId="4" borderId="0" xfId="0" applyFont="1" applyFill="1" applyBorder="1" applyAlignment="1">
      <alignment horizontal="center"/>
    </xf>
    <xf numFmtId="0" fontId="42" fillId="4" borderId="0" xfId="0" applyFont="1" applyFill="1" applyBorder="1"/>
    <xf numFmtId="0" fontId="42" fillId="4" borderId="0" xfId="0" applyFont="1" applyFill="1" applyBorder="1" applyAlignment="1">
      <alignment horizontal="left"/>
    </xf>
    <xf numFmtId="0" fontId="42" fillId="4" borderId="0" xfId="0" applyFont="1" applyFill="1" applyBorder="1" applyAlignment="1">
      <alignment horizontal="right"/>
    </xf>
    <xf numFmtId="0" fontId="42" fillId="4" borderId="0" xfId="0" applyFont="1" applyFill="1" applyBorder="1" applyAlignment="1">
      <alignment horizontal="center"/>
    </xf>
    <xf numFmtId="0" fontId="26" fillId="4" borderId="0" xfId="0" applyFont="1" applyFill="1" applyBorder="1" applyAlignment="1"/>
    <xf numFmtId="0" fontId="21" fillId="4" borderId="0" xfId="0" applyFont="1" applyFill="1" applyBorder="1" applyAlignment="1"/>
    <xf numFmtId="0" fontId="21" fillId="4" borderId="0" xfId="0" quotePrefix="1" applyFont="1" applyFill="1" applyBorder="1" applyAlignment="1">
      <alignment horizontal="right"/>
    </xf>
    <xf numFmtId="164" fontId="44" fillId="4" borderId="0" xfId="1" applyFont="1" applyFill="1" applyBorder="1"/>
    <xf numFmtId="0" fontId="27" fillId="2" borderId="7" xfId="0" applyFont="1" applyFill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4" borderId="6" xfId="0" applyFont="1" applyFill="1" applyBorder="1"/>
    <xf numFmtId="0" fontId="26" fillId="4" borderId="14" xfId="0" applyFont="1" applyFill="1" applyBorder="1"/>
    <xf numFmtId="0" fontId="21" fillId="4" borderId="14" xfId="0" applyFont="1" applyFill="1" applyBorder="1"/>
    <xf numFmtId="0" fontId="21" fillId="4" borderId="5" xfId="0" applyFont="1" applyFill="1" applyBorder="1"/>
    <xf numFmtId="0" fontId="21" fillId="4" borderId="13" xfId="0" applyFont="1" applyFill="1" applyBorder="1" applyAlignment="1">
      <alignment horizontal="center"/>
    </xf>
    <xf numFmtId="164" fontId="21" fillId="4" borderId="4" xfId="1" applyFont="1" applyFill="1" applyBorder="1"/>
    <xf numFmtId="0" fontId="21" fillId="4" borderId="3" xfId="0" applyFont="1" applyFill="1" applyBorder="1" applyAlignment="1">
      <alignment horizontal="right"/>
    </xf>
    <xf numFmtId="0" fontId="21" fillId="4" borderId="6" xfId="0" applyFont="1" applyFill="1" applyBorder="1" applyAlignment="1">
      <alignment horizontal="right"/>
    </xf>
    <xf numFmtId="0" fontId="21" fillId="4" borderId="10" xfId="0" applyFont="1" applyFill="1" applyBorder="1" applyAlignment="1">
      <alignment horizontal="right"/>
    </xf>
    <xf numFmtId="164" fontId="26" fillId="4" borderId="9" xfId="1" applyFont="1" applyFill="1" applyBorder="1"/>
    <xf numFmtId="0" fontId="26" fillId="4" borderId="8" xfId="0" applyFont="1" applyFill="1" applyBorder="1" applyAlignment="1">
      <alignment horizontal="right"/>
    </xf>
    <xf numFmtId="0" fontId="26" fillId="4" borderId="5" xfId="0" applyFont="1" applyFill="1" applyBorder="1"/>
    <xf numFmtId="0" fontId="21" fillId="4" borderId="7" xfId="0" applyFont="1" applyFill="1" applyBorder="1"/>
    <xf numFmtId="0" fontId="26" fillId="4" borderId="7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left"/>
    </xf>
    <xf numFmtId="164" fontId="26" fillId="4" borderId="11" xfId="1" applyFont="1" applyFill="1" applyBorder="1"/>
    <xf numFmtId="0" fontId="26" fillId="4" borderId="10" xfId="0" applyFont="1" applyFill="1" applyBorder="1" applyAlignment="1">
      <alignment horizontal="right"/>
    </xf>
    <xf numFmtId="0" fontId="26" fillId="4" borderId="6" xfId="0" applyFont="1" applyFill="1" applyBorder="1" applyAlignment="1">
      <alignment horizontal="right"/>
    </xf>
    <xf numFmtId="0" fontId="26" fillId="2" borderId="0" xfId="0" applyFont="1" applyFill="1" applyBorder="1" applyAlignment="1">
      <alignment horizontal="left"/>
    </xf>
    <xf numFmtId="164" fontId="26" fillId="2" borderId="12" xfId="2" applyFont="1" applyFill="1" applyBorder="1"/>
    <xf numFmtId="0" fontId="26" fillId="2" borderId="12" xfId="0" applyFont="1" applyFill="1" applyBorder="1" applyAlignment="1">
      <alignment horizontal="left"/>
    </xf>
    <xf numFmtId="0" fontId="26" fillId="2" borderId="7" xfId="0" applyFont="1" applyFill="1" applyBorder="1" applyAlignment="1">
      <alignment horizontal="center"/>
    </xf>
    <xf numFmtId="164" fontId="28" fillId="2" borderId="0" xfId="1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164" fontId="28" fillId="2" borderId="0" xfId="1" applyFont="1" applyFill="1" applyBorder="1" applyAlignment="1">
      <alignment horizontal="center"/>
    </xf>
    <xf numFmtId="0" fontId="28" fillId="2" borderId="10" xfId="0" applyFont="1" applyFill="1" applyBorder="1" applyAlignment="1">
      <alignment horizontal="left"/>
    </xf>
    <xf numFmtId="0" fontId="26" fillId="4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164" fontId="21" fillId="4" borderId="7" xfId="2" applyFont="1" applyFill="1" applyBorder="1"/>
    <xf numFmtId="0" fontId="21" fillId="4" borderId="0" xfId="0" applyFont="1" applyFill="1"/>
    <xf numFmtId="0" fontId="28" fillId="2" borderId="0" xfId="0" applyFont="1" applyFill="1" applyAlignment="1">
      <alignment horizontal="center"/>
    </xf>
    <xf numFmtId="0" fontId="21" fillId="2" borderId="0" xfId="8" applyFont="1" applyFill="1"/>
    <xf numFmtId="0" fontId="21" fillId="2" borderId="0" xfId="8" applyFont="1" applyFill="1" applyAlignment="1">
      <alignment horizontal="right"/>
    </xf>
    <xf numFmtId="0" fontId="26" fillId="2" borderId="0" xfId="8" applyFont="1" applyFill="1" applyAlignment="1"/>
    <xf numFmtId="0" fontId="21" fillId="2" borderId="0" xfId="8" applyFont="1" applyFill="1" applyBorder="1"/>
    <xf numFmtId="0" fontId="21" fillId="2" borderId="0" xfId="8" applyFont="1" applyFill="1" applyBorder="1" applyAlignment="1">
      <alignment horizontal="center"/>
    </xf>
    <xf numFmtId="0" fontId="21" fillId="2" borderId="0" xfId="8" applyFont="1" applyFill="1" applyBorder="1" applyAlignment="1">
      <alignment horizontal="right"/>
    </xf>
    <xf numFmtId="0" fontId="28" fillId="3" borderId="3" xfId="8" applyFont="1" applyFill="1" applyBorder="1"/>
    <xf numFmtId="0" fontId="28" fillId="3" borderId="4" xfId="8" applyFont="1" applyFill="1" applyBorder="1"/>
    <xf numFmtId="0" fontId="28" fillId="3" borderId="5" xfId="8" applyFont="1" applyFill="1" applyBorder="1" applyAlignment="1">
      <alignment horizontal="center"/>
    </xf>
    <xf numFmtId="0" fontId="28" fillId="3" borderId="10" xfId="8" applyFont="1" applyFill="1" applyBorder="1"/>
    <xf numFmtId="0" fontId="28" fillId="3" borderId="11" xfId="8" applyFont="1" applyFill="1" applyBorder="1"/>
    <xf numFmtId="0" fontId="28" fillId="3" borderId="13" xfId="8" applyFont="1" applyFill="1" applyBorder="1" applyAlignment="1">
      <alignment horizontal="center"/>
    </xf>
    <xf numFmtId="0" fontId="27" fillId="2" borderId="6" xfId="8" applyFont="1" applyFill="1" applyBorder="1"/>
    <xf numFmtId="0" fontId="28" fillId="2" borderId="7" xfId="8" applyFont="1" applyFill="1" applyBorder="1"/>
    <xf numFmtId="0" fontId="28" fillId="2" borderId="0" xfId="8" applyFont="1" applyFill="1" applyBorder="1" applyAlignment="1">
      <alignment horizontal="center"/>
    </xf>
    <xf numFmtId="0" fontId="28" fillId="2" borderId="3" xfId="8" applyFont="1" applyFill="1" applyBorder="1" applyAlignment="1">
      <alignment horizontal="center"/>
    </xf>
    <xf numFmtId="0" fontId="28" fillId="2" borderId="4" xfId="8" applyFont="1" applyFill="1" applyBorder="1" applyAlignment="1">
      <alignment horizontal="right"/>
    </xf>
    <xf numFmtId="0" fontId="28" fillId="2" borderId="6" xfId="8" applyFont="1" applyFill="1" applyBorder="1"/>
    <xf numFmtId="0" fontId="28" fillId="0" borderId="0" xfId="8" applyFont="1" applyAlignment="1">
      <alignment horizontal="center" vertical="center"/>
    </xf>
    <xf numFmtId="0" fontId="28" fillId="2" borderId="6" xfId="8" applyFont="1" applyFill="1" applyBorder="1" applyAlignment="1">
      <alignment horizontal="center"/>
    </xf>
    <xf numFmtId="0" fontId="36" fillId="2" borderId="6" xfId="8" applyFont="1" applyFill="1" applyBorder="1" applyAlignment="1">
      <alignment horizontal="center"/>
    </xf>
    <xf numFmtId="0" fontId="27" fillId="2" borderId="0" xfId="8" applyFont="1" applyFill="1" applyBorder="1" applyAlignment="1">
      <alignment horizontal="center"/>
    </xf>
    <xf numFmtId="0" fontId="27" fillId="2" borderId="8" xfId="8" applyFont="1" applyFill="1" applyBorder="1" applyAlignment="1">
      <alignment horizontal="center"/>
    </xf>
    <xf numFmtId="0" fontId="36" fillId="2" borderId="7" xfId="8" applyFont="1" applyFill="1" applyBorder="1" applyAlignment="1">
      <alignment horizontal="center"/>
    </xf>
    <xf numFmtId="0" fontId="27" fillId="2" borderId="5" xfId="8" applyFont="1" applyFill="1" applyBorder="1"/>
    <xf numFmtId="0" fontId="27" fillId="2" borderId="7" xfId="8" applyFont="1" applyFill="1" applyBorder="1"/>
    <xf numFmtId="0" fontId="28" fillId="2" borderId="5" xfId="8" applyFont="1" applyFill="1" applyBorder="1" applyAlignment="1">
      <alignment horizontal="center"/>
    </xf>
    <xf numFmtId="0" fontId="28" fillId="2" borderId="0" xfId="8" applyFont="1" applyFill="1"/>
    <xf numFmtId="0" fontId="28" fillId="2" borderId="6" xfId="8" applyFont="1" applyFill="1" applyBorder="1" applyAlignment="1">
      <alignment horizontal="right"/>
    </xf>
    <xf numFmtId="0" fontId="28" fillId="0" borderId="0" xfId="8" applyFont="1" applyBorder="1" applyAlignment="1">
      <alignment horizontal="center" vertical="center"/>
    </xf>
    <xf numFmtId="0" fontId="28" fillId="2" borderId="10" xfId="8" applyFont="1" applyFill="1" applyBorder="1"/>
    <xf numFmtId="0" fontId="28" fillId="2" borderId="11" xfId="8" applyFont="1" applyFill="1" applyBorder="1"/>
    <xf numFmtId="0" fontId="28" fillId="2" borderId="1" xfId="8" applyFont="1" applyFill="1" applyBorder="1" applyAlignment="1">
      <alignment horizontal="center"/>
    </xf>
    <xf numFmtId="0" fontId="28" fillId="2" borderId="10" xfId="8" applyFont="1" applyFill="1" applyBorder="1" applyAlignment="1">
      <alignment horizontal="right"/>
    </xf>
    <xf numFmtId="0" fontId="28" fillId="2" borderId="0" xfId="8" applyFont="1" applyFill="1" applyBorder="1"/>
    <xf numFmtId="0" fontId="28" fillId="4" borderId="0" xfId="8" applyFont="1" applyFill="1" applyBorder="1" applyAlignment="1">
      <alignment horizontal="left" vertical="center"/>
    </xf>
    <xf numFmtId="0" fontId="27" fillId="4" borderId="6" xfId="8" applyFont="1" applyFill="1" applyBorder="1" applyAlignment="1">
      <alignment horizontal="left" vertical="center"/>
    </xf>
    <xf numFmtId="0" fontId="28" fillId="0" borderId="5" xfId="8" applyFont="1" applyBorder="1" applyAlignment="1">
      <alignment horizontal="center" vertical="center"/>
    </xf>
    <xf numFmtId="0" fontId="27" fillId="4" borderId="10" xfId="8" applyFont="1" applyFill="1" applyBorder="1" applyAlignment="1">
      <alignment horizontal="left" vertical="center"/>
    </xf>
    <xf numFmtId="0" fontId="28" fillId="4" borderId="1" xfId="8" applyFont="1" applyFill="1" applyBorder="1" applyAlignment="1">
      <alignment horizontal="left" vertical="center"/>
    </xf>
    <xf numFmtId="0" fontId="28" fillId="2" borderId="13" xfId="8" applyFont="1" applyFill="1" applyBorder="1" applyAlignment="1">
      <alignment horizontal="center"/>
    </xf>
    <xf numFmtId="0" fontId="28" fillId="0" borderId="6" xfId="8" applyFont="1" applyBorder="1" applyAlignment="1" applyProtection="1">
      <alignment vertical="center"/>
      <protection locked="0"/>
    </xf>
    <xf numFmtId="0" fontId="28" fillId="2" borderId="6" xfId="8" applyFont="1" applyFill="1" applyBorder="1" applyAlignment="1">
      <alignment horizontal="left"/>
    </xf>
    <xf numFmtId="0" fontId="27" fillId="2" borderId="10" xfId="8" applyFont="1" applyFill="1" applyBorder="1" applyAlignment="1">
      <alignment horizontal="right"/>
    </xf>
    <xf numFmtId="0" fontId="27" fillId="2" borderId="6" xfId="8" applyFont="1" applyFill="1" applyBorder="1" applyAlignment="1">
      <alignment horizontal="left"/>
    </xf>
    <xf numFmtId="0" fontId="27" fillId="2" borderId="1" xfId="8" applyFont="1" applyFill="1" applyBorder="1" applyAlignment="1">
      <alignment horizontal="center"/>
    </xf>
    <xf numFmtId="0" fontId="27" fillId="2" borderId="0" xfId="8" applyFont="1" applyFill="1" applyBorder="1" applyAlignment="1">
      <alignment horizontal="right"/>
    </xf>
    <xf numFmtId="0" fontId="42" fillId="2" borderId="0" xfId="8" applyFont="1" applyFill="1"/>
    <xf numFmtId="0" fontId="26" fillId="2" borderId="0" xfId="8" applyFont="1" applyFill="1"/>
    <xf numFmtId="0" fontId="21" fillId="2" borderId="0" xfId="8" applyFont="1" applyFill="1" applyAlignment="1"/>
    <xf numFmtId="0" fontId="16" fillId="2" borderId="0" xfId="8" applyFont="1" applyFill="1"/>
    <xf numFmtId="0" fontId="6" fillId="2" borderId="0" xfId="8" applyFont="1" applyFill="1"/>
    <xf numFmtId="0" fontId="6" fillId="2" borderId="0" xfId="8" applyFont="1" applyFill="1" applyAlignment="1">
      <alignment horizontal="right"/>
    </xf>
    <xf numFmtId="0" fontId="10" fillId="2" borderId="0" xfId="8" applyFont="1" applyFill="1"/>
    <xf numFmtId="0" fontId="15" fillId="2" borderId="0" xfId="8" applyFont="1" applyFill="1"/>
    <xf numFmtId="0" fontId="15" fillId="2" borderId="0" xfId="8" applyFont="1" applyFill="1" applyAlignment="1">
      <alignment horizontal="center"/>
    </xf>
    <xf numFmtId="0" fontId="15" fillId="2" borderId="0" xfId="8" applyFont="1" applyFill="1" applyAlignment="1">
      <alignment horizontal="right"/>
    </xf>
    <xf numFmtId="0" fontId="6" fillId="2" borderId="0" xfId="8" applyFont="1" applyFill="1" applyBorder="1"/>
    <xf numFmtId="0" fontId="6" fillId="2" borderId="0" xfId="8" applyFont="1" applyFill="1" applyBorder="1" applyAlignment="1">
      <alignment horizontal="center"/>
    </xf>
    <xf numFmtId="0" fontId="6" fillId="2" borderId="0" xfId="8" applyFont="1" applyFill="1" applyBorder="1" applyAlignment="1">
      <alignment horizontal="right"/>
    </xf>
    <xf numFmtId="0" fontId="8" fillId="2" borderId="0" xfId="8" applyFont="1" applyFill="1" applyAlignment="1"/>
    <xf numFmtId="0" fontId="28" fillId="3" borderId="1" xfId="8" applyFont="1" applyFill="1" applyBorder="1"/>
    <xf numFmtId="0" fontId="27" fillId="4" borderId="0" xfId="8" applyFont="1" applyFill="1" applyBorder="1" applyAlignment="1" applyProtection="1">
      <alignment horizontal="left" vertical="center"/>
      <protection locked="0"/>
    </xf>
    <xf numFmtId="0" fontId="28" fillId="4" borderId="6" xfId="8" applyFont="1" applyFill="1" applyBorder="1" applyAlignment="1" applyProtection="1">
      <alignment vertical="center"/>
      <protection locked="0"/>
    </xf>
    <xf numFmtId="0" fontId="28" fillId="4" borderId="6" xfId="8" applyFont="1" applyFill="1" applyBorder="1" applyAlignment="1">
      <alignment horizontal="right"/>
    </xf>
    <xf numFmtId="0" fontId="6" fillId="4" borderId="0" xfId="8" applyFont="1" applyFill="1"/>
    <xf numFmtId="0" fontId="28" fillId="0" borderId="6" xfId="8" applyFont="1" applyBorder="1" applyAlignment="1" applyProtection="1">
      <alignment horizontal="left" vertical="center"/>
      <protection locked="0"/>
    </xf>
    <xf numFmtId="0" fontId="28" fillId="0" borderId="0" xfId="8" applyFont="1" applyBorder="1" applyAlignment="1" applyProtection="1">
      <alignment horizontal="left" vertical="center"/>
      <protection locked="0"/>
    </xf>
    <xf numFmtId="0" fontId="28" fillId="0" borderId="0" xfId="8" applyFont="1" applyBorder="1" applyAlignment="1" applyProtection="1">
      <alignment vertical="center"/>
      <protection locked="0"/>
    </xf>
    <xf numFmtId="0" fontId="28" fillId="0" borderId="6" xfId="8" applyFont="1" applyBorder="1" applyProtection="1">
      <protection locked="0"/>
    </xf>
    <xf numFmtId="164" fontId="28" fillId="0" borderId="7" xfId="1" applyFont="1" applyBorder="1" applyProtection="1">
      <protection locked="0"/>
    </xf>
    <xf numFmtId="0" fontId="28" fillId="2" borderId="0" xfId="8" applyFont="1" applyFill="1" applyBorder="1" applyAlignment="1">
      <alignment horizontal="left"/>
    </xf>
    <xf numFmtId="0" fontId="21" fillId="0" borderId="5" xfId="8" applyFont="1" applyBorder="1" applyAlignment="1" applyProtection="1">
      <alignment vertical="center"/>
      <protection locked="0"/>
    </xf>
    <xf numFmtId="0" fontId="28" fillId="0" borderId="5" xfId="8" applyFont="1" applyBorder="1" applyAlignment="1" applyProtection="1">
      <alignment horizontal="center" vertical="center"/>
      <protection locked="0"/>
    </xf>
    <xf numFmtId="0" fontId="28" fillId="0" borderId="7" xfId="8" applyFont="1" applyBorder="1" applyAlignment="1" applyProtection="1">
      <alignment vertical="center"/>
      <protection locked="0"/>
    </xf>
    <xf numFmtId="0" fontId="28" fillId="4" borderId="0" xfId="8" applyFont="1" applyFill="1" applyBorder="1" applyAlignment="1" applyProtection="1">
      <alignment vertical="center"/>
      <protection locked="0"/>
    </xf>
    <xf numFmtId="0" fontId="28" fillId="0" borderId="10" xfId="8" applyFont="1" applyBorder="1" applyAlignment="1" applyProtection="1">
      <alignment vertical="center"/>
      <protection locked="0"/>
    </xf>
    <xf numFmtId="0" fontId="28" fillId="0" borderId="1" xfId="8" applyFont="1" applyBorder="1" applyAlignment="1" applyProtection="1">
      <alignment vertical="center"/>
      <protection locked="0"/>
    </xf>
    <xf numFmtId="0" fontId="28" fillId="0" borderId="6" xfId="8" applyFont="1" applyBorder="1" applyAlignment="1">
      <alignment horizontal="left" vertical="center"/>
    </xf>
    <xf numFmtId="0" fontId="28" fillId="0" borderId="0" xfId="8" applyFont="1" applyBorder="1" applyAlignment="1">
      <alignment horizontal="left" vertical="center"/>
    </xf>
    <xf numFmtId="0" fontId="27" fillId="0" borderId="6" xfId="8" applyFont="1" applyBorder="1" applyAlignment="1" applyProtection="1">
      <alignment vertical="center"/>
      <protection locked="0"/>
    </xf>
    <xf numFmtId="0" fontId="27" fillId="0" borderId="0" xfId="8" applyFont="1" applyBorder="1" applyAlignment="1" applyProtection="1">
      <alignment vertical="center"/>
      <protection locked="0"/>
    </xf>
    <xf numFmtId="0" fontId="28" fillId="0" borderId="0" xfId="8" applyFont="1" applyBorder="1" applyProtection="1">
      <protection locked="0"/>
    </xf>
    <xf numFmtId="0" fontId="27" fillId="2" borderId="8" xfId="8" applyFont="1" applyFill="1" applyBorder="1" applyAlignment="1">
      <alignment horizontal="right" vertical="center"/>
    </xf>
    <xf numFmtId="164" fontId="27" fillId="2" borderId="9" xfId="8" applyNumberFormat="1" applyFont="1" applyFill="1" applyBorder="1" applyAlignment="1">
      <alignment horizontal="right" vertical="center"/>
    </xf>
    <xf numFmtId="0" fontId="9" fillId="2" borderId="0" xfId="8" applyFont="1" applyFill="1" applyBorder="1" applyAlignment="1">
      <alignment horizontal="center"/>
    </xf>
    <xf numFmtId="0" fontId="7" fillId="2" borderId="0" xfId="8" applyFont="1" applyFill="1" applyBorder="1" applyAlignment="1">
      <alignment horizontal="right"/>
    </xf>
    <xf numFmtId="0" fontId="13" fillId="2" borderId="0" xfId="8" applyFont="1" applyFill="1"/>
    <xf numFmtId="0" fontId="11" fillId="2" borderId="0" xfId="8" applyFont="1" applyFill="1" applyAlignment="1">
      <alignment horizontal="center"/>
    </xf>
    <xf numFmtId="0" fontId="11" fillId="2" borderId="0" xfId="8" applyFont="1" applyFill="1"/>
    <xf numFmtId="0" fontId="11" fillId="2" borderId="0" xfId="8" applyFont="1" applyFill="1" applyAlignment="1">
      <alignment horizontal="right"/>
    </xf>
    <xf numFmtId="0" fontId="24" fillId="2" borderId="0" xfId="8" applyFont="1" applyFill="1"/>
    <xf numFmtId="0" fontId="23" fillId="2" borderId="0" xfId="8" applyFont="1" applyFill="1" applyAlignment="1"/>
    <xf numFmtId="0" fontId="23" fillId="2" borderId="0" xfId="8" applyFont="1" applyFill="1" applyAlignment="1">
      <alignment horizontal="center"/>
    </xf>
    <xf numFmtId="0" fontId="23" fillId="2" borderId="0" xfId="8" applyFont="1" applyFill="1"/>
    <xf numFmtId="0" fontId="23" fillId="2" borderId="0" xfId="8" applyFont="1" applyFill="1" applyAlignment="1">
      <alignment horizontal="right"/>
    </xf>
    <xf numFmtId="0" fontId="14" fillId="2" borderId="0" xfId="8" applyFont="1" applyFill="1"/>
    <xf numFmtId="0" fontId="26" fillId="2" borderId="7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1" fillId="2" borderId="1" xfId="8" applyFont="1" applyFill="1" applyBorder="1"/>
    <xf numFmtId="0" fontId="21" fillId="2" borderId="2" xfId="8" applyFont="1" applyFill="1" applyBorder="1"/>
    <xf numFmtId="0" fontId="21" fillId="2" borderId="12" xfId="8" applyFont="1" applyFill="1" applyBorder="1"/>
    <xf numFmtId="0" fontId="21" fillId="3" borderId="3" xfId="8" applyFont="1" applyFill="1" applyBorder="1"/>
    <xf numFmtId="0" fontId="21" fillId="3" borderId="4" xfId="8" applyFont="1" applyFill="1" applyBorder="1"/>
    <xf numFmtId="0" fontId="21" fillId="3" borderId="14" xfId="8" applyFont="1" applyFill="1" applyBorder="1" applyAlignment="1">
      <alignment horizontal="center"/>
    </xf>
    <xf numFmtId="0" fontId="21" fillId="3" borderId="5" xfId="8" applyFont="1" applyFill="1" applyBorder="1" applyAlignment="1">
      <alignment horizontal="center"/>
    </xf>
    <xf numFmtId="0" fontId="21" fillId="3" borderId="10" xfId="8" applyFont="1" applyFill="1" applyBorder="1"/>
    <xf numFmtId="0" fontId="21" fillId="3" borderId="11" xfId="8" applyFont="1" applyFill="1" applyBorder="1"/>
    <xf numFmtId="0" fontId="21" fillId="3" borderId="13" xfId="8" applyFont="1" applyFill="1" applyBorder="1" applyAlignment="1">
      <alignment horizontal="center"/>
    </xf>
    <xf numFmtId="0" fontId="26" fillId="2" borderId="6" xfId="8" applyFont="1" applyFill="1" applyBorder="1"/>
    <xf numFmtId="0" fontId="21" fillId="2" borderId="7" xfId="8" applyFont="1" applyFill="1" applyBorder="1"/>
    <xf numFmtId="0" fontId="21" fillId="2" borderId="5" xfId="8" applyFont="1" applyFill="1" applyBorder="1"/>
    <xf numFmtId="0" fontId="21" fillId="2" borderId="6" xfId="8" applyFont="1" applyFill="1" applyBorder="1" applyAlignment="1">
      <alignment horizontal="right"/>
    </xf>
    <xf numFmtId="0" fontId="21" fillId="2" borderId="6" xfId="8" applyFont="1" applyFill="1" applyBorder="1"/>
    <xf numFmtId="0" fontId="21" fillId="2" borderId="5" xfId="8" applyFont="1" applyFill="1" applyBorder="1" applyAlignment="1">
      <alignment horizontal="center"/>
    </xf>
    <xf numFmtId="0" fontId="21" fillId="2" borderId="10" xfId="8" applyFont="1" applyFill="1" applyBorder="1" applyAlignment="1">
      <alignment horizontal="right"/>
    </xf>
    <xf numFmtId="164" fontId="21" fillId="2" borderId="0" xfId="8" applyNumberFormat="1" applyFont="1" applyFill="1"/>
    <xf numFmtId="0" fontId="43" fillId="2" borderId="7" xfId="8" applyFont="1" applyFill="1" applyBorder="1"/>
    <xf numFmtId="0" fontId="26" fillId="2" borderId="8" xfId="8" applyFont="1" applyFill="1" applyBorder="1" applyAlignment="1">
      <alignment horizontal="right"/>
    </xf>
    <xf numFmtId="0" fontId="26" fillId="2" borderId="3" xfId="8" applyFont="1" applyFill="1" applyBorder="1" applyAlignment="1">
      <alignment horizontal="right"/>
    </xf>
    <xf numFmtId="0" fontId="21" fillId="4" borderId="5" xfId="8" applyFont="1" applyFill="1" applyBorder="1" applyAlignment="1">
      <alignment horizontal="center"/>
    </xf>
    <xf numFmtId="0" fontId="21" fillId="2" borderId="10" xfId="8" applyFont="1" applyFill="1" applyBorder="1"/>
    <xf numFmtId="0" fontId="21" fillId="2" borderId="11" xfId="8" applyFont="1" applyFill="1" applyBorder="1"/>
    <xf numFmtId="0" fontId="21" fillId="2" borderId="13" xfId="8" applyFont="1" applyFill="1" applyBorder="1" applyAlignment="1">
      <alignment horizontal="center"/>
    </xf>
    <xf numFmtId="0" fontId="26" fillId="2" borderId="6" xfId="8" applyFont="1" applyFill="1" applyBorder="1" applyAlignment="1">
      <alignment horizontal="left"/>
    </xf>
    <xf numFmtId="0" fontId="26" fillId="2" borderId="6" xfId="8" applyFont="1" applyFill="1" applyBorder="1" applyAlignment="1">
      <alignment horizontal="right"/>
    </xf>
    <xf numFmtId="0" fontId="21" fillId="2" borderId="6" xfId="8" applyFont="1" applyFill="1" applyBorder="1" applyAlignment="1">
      <alignment horizontal="left"/>
    </xf>
    <xf numFmtId="0" fontId="21" fillId="2" borderId="7" xfId="8" applyFont="1" applyFill="1" applyBorder="1" applyAlignment="1">
      <alignment horizontal="center"/>
    </xf>
    <xf numFmtId="0" fontId="26" fillId="2" borderId="12" xfId="8" applyFont="1" applyFill="1" applyBorder="1" applyAlignment="1">
      <alignment horizontal="right"/>
    </xf>
    <xf numFmtId="0" fontId="26" fillId="2" borderId="5" xfId="8" applyFont="1" applyFill="1" applyBorder="1"/>
    <xf numFmtId="0" fontId="26" fillId="2" borderId="10" xfId="8" applyFont="1" applyFill="1" applyBorder="1" applyAlignment="1">
      <alignment horizontal="right"/>
    </xf>
    <xf numFmtId="0" fontId="42" fillId="2" borderId="0" xfId="8" applyFont="1" applyFill="1" applyAlignment="1">
      <alignment horizontal="left"/>
    </xf>
    <xf numFmtId="0" fontId="42" fillId="2" borderId="0" xfId="8" applyFont="1" applyFill="1" applyAlignment="1">
      <alignment horizontal="right"/>
    </xf>
    <xf numFmtId="0" fontId="42" fillId="2" borderId="0" xfId="8" applyFont="1" applyFill="1" applyAlignment="1">
      <alignment horizontal="center"/>
    </xf>
    <xf numFmtId="0" fontId="26" fillId="2" borderId="0" xfId="8" applyFont="1" applyFill="1" applyAlignment="1">
      <alignment horizontal="right"/>
    </xf>
    <xf numFmtId="0" fontId="40" fillId="2" borderId="0" xfId="8" applyFont="1" applyFill="1" applyBorder="1"/>
    <xf numFmtId="164" fontId="21" fillId="2" borderId="7" xfId="9" applyFont="1" applyFill="1" applyBorder="1"/>
    <xf numFmtId="0" fontId="26" fillId="2" borderId="0" xfId="8" applyFont="1" applyFill="1" applyBorder="1" applyAlignment="1">
      <alignment horizontal="center"/>
    </xf>
    <xf numFmtId="0" fontId="26" fillId="2" borderId="0" xfId="8" applyFont="1" applyFill="1" applyBorder="1" applyAlignment="1">
      <alignment horizontal="right"/>
    </xf>
    <xf numFmtId="0" fontId="21" fillId="2" borderId="1" xfId="8" applyFont="1" applyFill="1" applyBorder="1" applyAlignment="1">
      <alignment horizontal="right"/>
    </xf>
    <xf numFmtId="164" fontId="21" fillId="2" borderId="11" xfId="9" applyFont="1" applyFill="1" applyBorder="1"/>
    <xf numFmtId="164" fontId="26" fillId="2" borderId="9" xfId="9" applyFont="1" applyFill="1" applyBorder="1"/>
    <xf numFmtId="164" fontId="26" fillId="2" borderId="4" xfId="9" applyFont="1" applyFill="1" applyBorder="1"/>
    <xf numFmtId="164" fontId="21" fillId="2" borderId="0" xfId="9" applyFont="1" applyFill="1" applyBorder="1"/>
    <xf numFmtId="164" fontId="26" fillId="2" borderId="7" xfId="9" applyFont="1" applyFill="1" applyBorder="1"/>
    <xf numFmtId="164" fontId="26" fillId="2" borderId="11" xfId="9" applyFont="1" applyFill="1" applyBorder="1"/>
    <xf numFmtId="164" fontId="26" fillId="2" borderId="0" xfId="9" applyFont="1" applyFill="1" applyBorder="1"/>
    <xf numFmtId="164" fontId="27" fillId="2" borderId="0" xfId="2" applyFont="1" applyFill="1" applyBorder="1"/>
    <xf numFmtId="0" fontId="27" fillId="2" borderId="7" xfId="0" applyFont="1" applyFill="1" applyBorder="1" applyAlignment="1">
      <alignment horizontal="center"/>
    </xf>
    <xf numFmtId="164" fontId="28" fillId="2" borderId="0" xfId="1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1" fillId="2" borderId="0" xfId="8" applyFont="1" applyFill="1" applyAlignment="1">
      <alignment horizontal="center"/>
    </xf>
    <xf numFmtId="0" fontId="26" fillId="2" borderId="6" xfId="8" applyFont="1" applyFill="1" applyBorder="1" applyAlignment="1">
      <alignment horizontal="center"/>
    </xf>
    <xf numFmtId="0" fontId="26" fillId="2" borderId="7" xfId="8" applyFont="1" applyFill="1" applyBorder="1" applyAlignment="1">
      <alignment horizontal="center"/>
    </xf>
    <xf numFmtId="0" fontId="46" fillId="2" borderId="0" xfId="12" applyFont="1" applyFill="1" applyAlignment="1"/>
    <xf numFmtId="0" fontId="50" fillId="2" borderId="0" xfId="12" applyFont="1" applyFill="1" applyAlignment="1"/>
    <xf numFmtId="0" fontId="50" fillId="2" borderId="0" xfId="12" applyFont="1" applyFill="1"/>
    <xf numFmtId="0" fontId="16" fillId="2" borderId="0" xfId="12" applyFont="1" applyFill="1"/>
    <xf numFmtId="0" fontId="16" fillId="2" borderId="0" xfId="12" applyFont="1" applyFill="1" applyAlignment="1">
      <alignment horizontal="right"/>
    </xf>
    <xf numFmtId="0" fontId="16" fillId="2" borderId="0" xfId="12" applyFont="1" applyFill="1" applyBorder="1"/>
    <xf numFmtId="0" fontId="47" fillId="2" borderId="0" xfId="12" applyFont="1" applyFill="1"/>
    <xf numFmtId="0" fontId="16" fillId="3" borderId="14" xfId="12" applyFont="1" applyFill="1" applyBorder="1" applyAlignment="1">
      <alignment horizontal="center"/>
    </xf>
    <xf numFmtId="0" fontId="47" fillId="3" borderId="5" xfId="12" applyFont="1" applyFill="1" applyBorder="1" applyAlignment="1">
      <alignment horizontal="center"/>
    </xf>
    <xf numFmtId="0" fontId="16" fillId="3" borderId="13" xfId="12" applyFont="1" applyFill="1" applyBorder="1" applyAlignment="1">
      <alignment horizontal="center"/>
    </xf>
    <xf numFmtId="0" fontId="28" fillId="2" borderId="5" xfId="12" applyFont="1" applyFill="1" applyBorder="1" applyAlignment="1">
      <alignment horizontal="left"/>
    </xf>
    <xf numFmtId="0" fontId="28" fillId="2" borderId="0" xfId="12" applyFont="1" applyFill="1" applyBorder="1" applyAlignment="1">
      <alignment horizontal="right"/>
    </xf>
    <xf numFmtId="164" fontId="28" fillId="2" borderId="7" xfId="12" applyNumberFormat="1" applyFont="1" applyFill="1" applyBorder="1"/>
    <xf numFmtId="0" fontId="28" fillId="2" borderId="6" xfId="12" applyFont="1" applyFill="1" applyBorder="1" applyAlignment="1">
      <alignment horizontal="right"/>
    </xf>
    <xf numFmtId="164" fontId="28" fillId="2" borderId="0" xfId="12" applyNumberFormat="1" applyFont="1" applyFill="1"/>
    <xf numFmtId="0" fontId="28" fillId="2" borderId="0" xfId="12" applyFont="1" applyFill="1"/>
    <xf numFmtId="9" fontId="28" fillId="2" borderId="5" xfId="12" applyNumberFormat="1" applyFont="1" applyFill="1" applyBorder="1" applyAlignment="1">
      <alignment horizontal="left"/>
    </xf>
    <xf numFmtId="0" fontId="28" fillId="2" borderId="5" xfId="12" applyFont="1" applyFill="1" applyBorder="1" applyAlignment="1">
      <alignment horizontal="left" vertical="top"/>
    </xf>
    <xf numFmtId="0" fontId="28" fillId="2" borderId="13" xfId="12" applyFont="1" applyFill="1" applyBorder="1" applyAlignment="1">
      <alignment horizontal="left"/>
    </xf>
    <xf numFmtId="0" fontId="28" fillId="2" borderId="13" xfId="12" applyFont="1" applyFill="1" applyBorder="1" applyAlignment="1">
      <alignment horizontal="center" vertical="top" wrapText="1"/>
    </xf>
    <xf numFmtId="0" fontId="28" fillId="2" borderId="1" xfId="12" applyFont="1" applyFill="1" applyBorder="1" applyAlignment="1">
      <alignment horizontal="right"/>
    </xf>
    <xf numFmtId="164" fontId="28" fillId="2" borderId="11" xfId="12" applyNumberFormat="1" applyFont="1" applyFill="1" applyBorder="1"/>
    <xf numFmtId="0" fontId="28" fillId="2" borderId="10" xfId="12" applyFont="1" applyFill="1" applyBorder="1" applyAlignment="1">
      <alignment horizontal="right"/>
    </xf>
    <xf numFmtId="0" fontId="28" fillId="2" borderId="6" xfId="12" applyFont="1" applyFill="1" applyBorder="1" applyAlignment="1">
      <alignment horizontal="left"/>
    </xf>
    <xf numFmtId="0" fontId="27" fillId="2" borderId="13" xfId="12" applyFont="1" applyFill="1" applyBorder="1" applyAlignment="1">
      <alignment horizontal="center"/>
    </xf>
    <xf numFmtId="0" fontId="27" fillId="2" borderId="8" xfId="12" applyFont="1" applyFill="1" applyBorder="1" applyAlignment="1">
      <alignment horizontal="right"/>
    </xf>
    <xf numFmtId="164" fontId="27" fillId="2" borderId="9" xfId="13" applyFont="1" applyFill="1" applyBorder="1"/>
    <xf numFmtId="0" fontId="27" fillId="2" borderId="0" xfId="12" applyFont="1" applyFill="1" applyBorder="1" applyAlignment="1">
      <alignment horizontal="center"/>
    </xf>
    <xf numFmtId="0" fontId="27" fillId="2" borderId="0" xfId="12" applyFont="1" applyFill="1" applyBorder="1" applyAlignment="1">
      <alignment horizontal="right"/>
    </xf>
    <xf numFmtId="164" fontId="27" fillId="2" borderId="0" xfId="13" applyFont="1" applyFill="1" applyBorder="1"/>
    <xf numFmtId="0" fontId="49" fillId="2" borderId="0" xfId="12" applyFont="1" applyFill="1"/>
    <xf numFmtId="0" fontId="49" fillId="2" borderId="0" xfId="12" applyFont="1" applyFill="1" applyAlignment="1">
      <alignment horizontal="right"/>
    </xf>
    <xf numFmtId="0" fontId="49" fillId="2" borderId="0" xfId="12" applyFont="1" applyFill="1" applyAlignment="1">
      <alignment horizontal="center"/>
    </xf>
    <xf numFmtId="0" fontId="46" fillId="2" borderId="0" xfId="12" applyFont="1" applyFill="1"/>
    <xf numFmtId="0" fontId="51" fillId="0" borderId="0" xfId="12" applyFont="1"/>
    <xf numFmtId="0" fontId="27" fillId="2" borderId="2" xfId="12" applyFont="1" applyFill="1" applyBorder="1" applyAlignment="1">
      <alignment horizontal="right"/>
    </xf>
    <xf numFmtId="0" fontId="28" fillId="2" borderId="5" xfId="10" applyFont="1" applyFill="1" applyBorder="1" applyAlignment="1">
      <alignment horizontal="left" vertical="center"/>
    </xf>
    <xf numFmtId="0" fontId="21" fillId="2" borderId="0" xfId="8" applyFont="1" applyFill="1" applyAlignment="1">
      <alignment vertical="center"/>
    </xf>
    <xf numFmtId="0" fontId="21" fillId="2" borderId="0" xfId="8" applyFont="1" applyFill="1" applyAlignment="1">
      <alignment horizontal="right" vertical="center"/>
    </xf>
    <xf numFmtId="0" fontId="16" fillId="2" borderId="0" xfId="10" applyFont="1" applyFill="1" applyAlignment="1">
      <alignment vertical="center"/>
    </xf>
    <xf numFmtId="164" fontId="16" fillId="2" borderId="0" xfId="11" applyFont="1" applyFill="1" applyAlignment="1">
      <alignment vertical="center"/>
    </xf>
    <xf numFmtId="0" fontId="47" fillId="2" borderId="0" xfId="10" applyFont="1" applyFill="1" applyAlignment="1">
      <alignment vertical="center"/>
    </xf>
    <xf numFmtId="0" fontId="16" fillId="2" borderId="0" xfId="10" applyFont="1" applyFill="1" applyBorder="1" applyAlignment="1">
      <alignment vertical="center"/>
    </xf>
    <xf numFmtId="0" fontId="21" fillId="3" borderId="14" xfId="10" applyFont="1" applyFill="1" applyBorder="1" applyAlignment="1">
      <alignment horizontal="center" vertical="center"/>
    </xf>
    <xf numFmtId="0" fontId="53" fillId="2" borderId="0" xfId="10" applyFont="1" applyFill="1" applyAlignment="1">
      <alignment vertical="center"/>
    </xf>
    <xf numFmtId="0" fontId="26" fillId="3" borderId="5" xfId="10" applyFont="1" applyFill="1" applyBorder="1" applyAlignment="1">
      <alignment horizontal="center" vertical="center"/>
    </xf>
    <xf numFmtId="0" fontId="21" fillId="3" borderId="13" xfId="10" applyFont="1" applyFill="1" applyBorder="1" applyAlignment="1">
      <alignment horizontal="center" vertical="center"/>
    </xf>
    <xf numFmtId="0" fontId="27" fillId="4" borderId="5" xfId="10" applyFont="1" applyFill="1" applyBorder="1" applyAlignment="1">
      <alignment horizontal="left" vertical="center"/>
    </xf>
    <xf numFmtId="0" fontId="36" fillId="4" borderId="0" xfId="10" applyFont="1" applyFill="1" applyBorder="1" applyAlignment="1">
      <alignment horizontal="center" vertical="center"/>
    </xf>
    <xf numFmtId="0" fontId="36" fillId="4" borderId="7" xfId="10" applyFont="1" applyFill="1" applyBorder="1" applyAlignment="1">
      <alignment horizontal="center" vertical="center"/>
    </xf>
    <xf numFmtId="0" fontId="36" fillId="4" borderId="6" xfId="10" applyFont="1" applyFill="1" applyBorder="1" applyAlignment="1">
      <alignment horizontal="center" vertical="center"/>
    </xf>
    <xf numFmtId="0" fontId="28" fillId="4" borderId="6" xfId="10" applyFont="1" applyFill="1" applyBorder="1" applyAlignment="1">
      <alignment horizontal="center" vertical="center"/>
    </xf>
    <xf numFmtId="0" fontId="28" fillId="2" borderId="0" xfId="10" applyFont="1" applyFill="1" applyBorder="1" applyAlignment="1">
      <alignment horizontal="center" vertical="center"/>
    </xf>
    <xf numFmtId="164" fontId="28" fillId="2" borderId="7" xfId="10" applyNumberFormat="1" applyFont="1" applyFill="1" applyBorder="1" applyAlignment="1">
      <alignment vertical="center"/>
    </xf>
    <xf numFmtId="0" fontId="28" fillId="2" borderId="6" xfId="10" applyFont="1" applyFill="1" applyBorder="1" applyAlignment="1">
      <alignment horizontal="center" vertical="center"/>
    </xf>
    <xf numFmtId="0" fontId="28" fillId="2" borderId="0" xfId="10" applyFont="1" applyFill="1" applyAlignment="1">
      <alignment vertical="center"/>
    </xf>
    <xf numFmtId="0" fontId="28" fillId="2" borderId="13" xfId="10" applyFont="1" applyFill="1" applyBorder="1" applyAlignment="1">
      <alignment horizontal="left" vertical="center"/>
    </xf>
    <xf numFmtId="0" fontId="28" fillId="2" borderId="1" xfId="10" applyFont="1" applyFill="1" applyBorder="1" applyAlignment="1">
      <alignment horizontal="center" vertical="center"/>
    </xf>
    <xf numFmtId="164" fontId="28" fillId="2" borderId="11" xfId="10" applyNumberFormat="1" applyFont="1" applyFill="1" applyBorder="1" applyAlignment="1">
      <alignment vertical="center"/>
    </xf>
    <xf numFmtId="0" fontId="28" fillId="2" borderId="10" xfId="10" applyFont="1" applyFill="1" applyBorder="1" applyAlignment="1">
      <alignment horizontal="center" vertical="center"/>
    </xf>
    <xf numFmtId="0" fontId="28" fillId="2" borderId="5" xfId="10" applyFont="1" applyFill="1" applyBorder="1" applyAlignment="1">
      <alignment vertical="center"/>
    </xf>
    <xf numFmtId="0" fontId="28" fillId="2" borderId="0" xfId="10" applyFont="1" applyFill="1" applyAlignment="1">
      <alignment horizontal="center" vertical="center"/>
    </xf>
    <xf numFmtId="164" fontId="28" fillId="2" borderId="0" xfId="11" applyFont="1" applyFill="1" applyAlignment="1">
      <alignment vertical="center"/>
    </xf>
    <xf numFmtId="164" fontId="28" fillId="2" borderId="7" xfId="11" applyFont="1" applyFill="1" applyBorder="1" applyAlignment="1">
      <alignment vertical="center"/>
    </xf>
    <xf numFmtId="0" fontId="28" fillId="2" borderId="7" xfId="10" applyFont="1" applyFill="1" applyBorder="1" applyAlignment="1">
      <alignment vertical="center"/>
    </xf>
    <xf numFmtId="164" fontId="28" fillId="2" borderId="0" xfId="11" applyFont="1" applyFill="1" applyBorder="1" applyAlignment="1">
      <alignment vertical="center"/>
    </xf>
    <xf numFmtId="0" fontId="28" fillId="2" borderId="13" xfId="10" applyFont="1" applyFill="1" applyBorder="1" applyAlignment="1">
      <alignment vertical="center"/>
    </xf>
    <xf numFmtId="164" fontId="28" fillId="2" borderId="1" xfId="11" applyFont="1" applyFill="1" applyBorder="1" applyAlignment="1">
      <alignment vertical="center"/>
    </xf>
    <xf numFmtId="164" fontId="28" fillId="2" borderId="11" xfId="11" applyFont="1" applyFill="1" applyBorder="1" applyAlignment="1">
      <alignment vertical="center"/>
    </xf>
    <xf numFmtId="164" fontId="28" fillId="2" borderId="6" xfId="11" applyFont="1" applyFill="1" applyBorder="1" applyAlignment="1">
      <alignment horizontal="center" vertical="center"/>
    </xf>
    <xf numFmtId="164" fontId="28" fillId="2" borderId="0" xfId="11" applyFont="1" applyFill="1" applyAlignment="1">
      <alignment horizontal="center" vertical="center"/>
    </xf>
    <xf numFmtId="164" fontId="28" fillId="2" borderId="0" xfId="11" applyFont="1" applyFill="1" applyBorder="1" applyAlignment="1">
      <alignment horizontal="center" vertical="center"/>
    </xf>
    <xf numFmtId="164" fontId="28" fillId="2" borderId="1" xfId="11" applyFont="1" applyFill="1" applyBorder="1" applyAlignment="1">
      <alignment horizontal="center" vertical="center"/>
    </xf>
    <xf numFmtId="0" fontId="28" fillId="2" borderId="6" xfId="10" applyFont="1" applyFill="1" applyBorder="1" applyAlignment="1">
      <alignment horizontal="left" vertical="center" wrapText="1"/>
    </xf>
    <xf numFmtId="0" fontId="28" fillId="2" borderId="6" xfId="10" applyFont="1" applyFill="1" applyBorder="1" applyAlignment="1">
      <alignment horizontal="left" vertical="center"/>
    </xf>
    <xf numFmtId="0" fontId="27" fillId="2" borderId="6" xfId="10" applyFont="1" applyFill="1" applyBorder="1" applyAlignment="1">
      <alignment horizontal="center" vertical="center"/>
    </xf>
    <xf numFmtId="0" fontId="27" fillId="2" borderId="2" xfId="10" applyFont="1" applyFill="1" applyBorder="1" applyAlignment="1">
      <alignment horizontal="center" vertical="center"/>
    </xf>
    <xf numFmtId="164" fontId="27" fillId="2" borderId="9" xfId="11" applyFont="1" applyFill="1" applyBorder="1" applyAlignment="1">
      <alignment vertical="center"/>
    </xf>
    <xf numFmtId="0" fontId="27" fillId="2" borderId="8" xfId="10" applyFont="1" applyFill="1" applyBorder="1" applyAlignment="1">
      <alignment horizontal="center" vertical="center"/>
    </xf>
    <xf numFmtId="0" fontId="49" fillId="2" borderId="0" xfId="10" applyFont="1" applyFill="1" applyAlignment="1">
      <alignment horizontal="left" vertical="center"/>
    </xf>
    <xf numFmtId="0" fontId="49" fillId="2" borderId="0" xfId="10" applyFont="1" applyFill="1" applyAlignment="1">
      <alignment horizontal="center" vertical="center"/>
    </xf>
    <xf numFmtId="0" fontId="49" fillId="2" borderId="0" xfId="10" applyFont="1" applyFill="1" applyAlignment="1">
      <alignment vertical="center"/>
    </xf>
    <xf numFmtId="164" fontId="49" fillId="2" borderId="0" xfId="11" applyFont="1" applyFill="1" applyAlignment="1">
      <alignment vertical="center"/>
    </xf>
    <xf numFmtId="0" fontId="46" fillId="2" borderId="0" xfId="10" applyFont="1" applyFill="1" applyAlignment="1">
      <alignment horizontal="left" vertical="center"/>
    </xf>
    <xf numFmtId="0" fontId="46" fillId="2" borderId="0" xfId="10" applyFont="1" applyFill="1" applyAlignment="1">
      <alignment vertical="center"/>
    </xf>
    <xf numFmtId="0" fontId="50" fillId="2" borderId="0" xfId="10" applyFont="1" applyFill="1" applyAlignment="1">
      <alignment vertical="center"/>
    </xf>
    <xf numFmtId="0" fontId="51" fillId="0" borderId="0" xfId="10" applyFont="1" applyAlignment="1">
      <alignment vertical="center"/>
    </xf>
    <xf numFmtId="0" fontId="51" fillId="0" borderId="0" xfId="10" applyFont="1" applyAlignment="1">
      <alignment horizontal="center" vertical="center"/>
    </xf>
    <xf numFmtId="164" fontId="52" fillId="0" borderId="0" xfId="11" applyFont="1" applyAlignment="1">
      <alignment vertical="center"/>
    </xf>
    <xf numFmtId="0" fontId="21" fillId="2" borderId="0" xfId="8" applyFont="1" applyFill="1" applyAlignment="1">
      <alignment horizontal="center"/>
    </xf>
    <xf numFmtId="0" fontId="28" fillId="2" borderId="5" xfId="12" applyFont="1" applyFill="1" applyBorder="1" applyAlignment="1">
      <alignment horizontal="center" vertical="top" wrapText="1"/>
    </xf>
    <xf numFmtId="0" fontId="28" fillId="2" borderId="5" xfId="12" applyFont="1" applyFill="1" applyBorder="1" applyAlignment="1">
      <alignment horizontal="center"/>
    </xf>
    <xf numFmtId="0" fontId="28" fillId="2" borderId="13" xfId="12" applyFont="1" applyFill="1" applyBorder="1" applyAlignment="1">
      <alignment horizontal="center"/>
    </xf>
    <xf numFmtId="0" fontId="51" fillId="0" borderId="0" xfId="12" applyFont="1" applyAlignment="1">
      <alignment horizontal="center"/>
    </xf>
    <xf numFmtId="0" fontId="6" fillId="2" borderId="0" xfId="14" applyFont="1" applyFill="1"/>
    <xf numFmtId="0" fontId="6" fillId="2" borderId="0" xfId="14" applyFont="1" applyFill="1" applyAlignment="1">
      <alignment horizontal="right"/>
    </xf>
    <xf numFmtId="0" fontId="15" fillId="2" borderId="0" xfId="14" applyFont="1" applyFill="1"/>
    <xf numFmtId="0" fontId="15" fillId="2" borderId="0" xfId="14" applyFont="1" applyFill="1" applyAlignment="1">
      <alignment horizontal="right"/>
    </xf>
    <xf numFmtId="0" fontId="6" fillId="2" borderId="0" xfId="14" applyFont="1" applyFill="1" applyAlignment="1">
      <alignment horizontal="center"/>
    </xf>
    <xf numFmtId="0" fontId="12" fillId="2" borderId="0" xfId="14" applyFont="1" applyFill="1" applyAlignment="1">
      <alignment horizontal="center"/>
    </xf>
    <xf numFmtId="0" fontId="12" fillId="2" borderId="0" xfId="14" applyFont="1" applyFill="1"/>
    <xf numFmtId="0" fontId="7" fillId="2" borderId="0" xfId="14" applyFont="1" applyFill="1"/>
    <xf numFmtId="0" fontId="6" fillId="2" borderId="0" xfId="14" applyFont="1" applyFill="1" applyBorder="1"/>
    <xf numFmtId="0" fontId="6" fillId="3" borderId="14" xfId="14" applyFont="1" applyFill="1" applyBorder="1" applyAlignment="1">
      <alignment horizontal="center"/>
    </xf>
    <xf numFmtId="0" fontId="6" fillId="3" borderId="13" xfId="14" applyFont="1" applyFill="1" applyBorder="1" applyAlignment="1">
      <alignment horizontal="center"/>
    </xf>
    <xf numFmtId="0" fontId="17" fillId="2" borderId="6" xfId="14" applyFont="1" applyFill="1" applyBorder="1"/>
    <xf numFmtId="0" fontId="17" fillId="2" borderId="5" xfId="14" applyFont="1" applyFill="1" applyBorder="1" applyAlignment="1">
      <alignment horizontal="left"/>
    </xf>
    <xf numFmtId="164" fontId="17" fillId="2" borderId="7" xfId="14" applyNumberFormat="1" applyFont="1" applyFill="1" applyBorder="1"/>
    <xf numFmtId="0" fontId="17" fillId="2" borderId="6" xfId="14" applyFont="1" applyFill="1" applyBorder="1" applyAlignment="1">
      <alignment horizontal="right"/>
    </xf>
    <xf numFmtId="164" fontId="17" fillId="2" borderId="0" xfId="14" applyNumberFormat="1" applyFont="1" applyFill="1"/>
    <xf numFmtId="0" fontId="17" fillId="2" borderId="0" xfId="14" applyFont="1" applyFill="1"/>
    <xf numFmtId="0" fontId="17" fillId="2" borderId="6" xfId="14" applyFont="1" applyFill="1" applyBorder="1" applyAlignment="1">
      <alignment horizontal="left"/>
    </xf>
    <xf numFmtId="0" fontId="17" fillId="2" borderId="6" xfId="14" applyFont="1" applyFill="1" applyBorder="1" applyAlignment="1">
      <alignment horizontal="center" wrapText="1"/>
    </xf>
    <xf numFmtId="0" fontId="17" fillId="2" borderId="10" xfId="14" applyFont="1" applyFill="1" applyBorder="1" applyAlignment="1">
      <alignment horizontal="right"/>
    </xf>
    <xf numFmtId="164" fontId="17" fillId="2" borderId="11" xfId="14" applyNumberFormat="1" applyFont="1" applyFill="1" applyBorder="1"/>
    <xf numFmtId="0" fontId="18" fillId="2" borderId="6" xfId="14" applyFont="1" applyFill="1" applyBorder="1" applyAlignment="1">
      <alignment horizontal="center"/>
    </xf>
    <xf numFmtId="0" fontId="18" fillId="2" borderId="8" xfId="14" applyFont="1" applyFill="1" applyBorder="1" applyAlignment="1">
      <alignment horizontal="right"/>
    </xf>
    <xf numFmtId="164" fontId="18" fillId="2" borderId="9" xfId="15" applyFont="1" applyFill="1" applyBorder="1"/>
    <xf numFmtId="0" fontId="17" fillId="2" borderId="10" xfId="14" applyFont="1" applyFill="1" applyBorder="1"/>
    <xf numFmtId="0" fontId="17" fillId="2" borderId="10" xfId="14" applyFont="1" applyFill="1" applyBorder="1" applyAlignment="1">
      <alignment horizontal="center"/>
    </xf>
    <xf numFmtId="164" fontId="17" fillId="2" borderId="11" xfId="15" applyFont="1" applyFill="1" applyBorder="1"/>
    <xf numFmtId="0" fontId="18" fillId="2" borderId="0" xfId="14" applyFont="1" applyFill="1" applyBorder="1" applyAlignment="1">
      <alignment horizontal="center"/>
    </xf>
    <xf numFmtId="0" fontId="18" fillId="2" borderId="0" xfId="14" applyFont="1" applyFill="1" applyBorder="1" applyAlignment="1">
      <alignment horizontal="right"/>
    </xf>
    <xf numFmtId="164" fontId="18" fillId="2" borderId="0" xfId="15" applyFont="1" applyFill="1" applyBorder="1"/>
    <xf numFmtId="0" fontId="13" fillId="2" borderId="0" xfId="14" applyFont="1" applyFill="1"/>
    <xf numFmtId="0" fontId="13" fillId="2" borderId="0" xfId="14" applyFont="1" applyFill="1" applyAlignment="1">
      <alignment horizontal="left"/>
    </xf>
    <xf numFmtId="0" fontId="13" fillId="2" borderId="0" xfId="14" applyFont="1" applyFill="1" applyAlignment="1">
      <alignment horizontal="right"/>
    </xf>
    <xf numFmtId="0" fontId="13" fillId="2" borderId="0" xfId="14" applyFont="1" applyFill="1" applyAlignment="1">
      <alignment horizontal="center"/>
    </xf>
    <xf numFmtId="0" fontId="11" fillId="2" borderId="0" xfId="14" applyFont="1" applyFill="1"/>
    <xf numFmtId="0" fontId="11" fillId="2" borderId="0" xfId="14" applyFont="1" applyFill="1" applyAlignment="1">
      <alignment horizontal="right"/>
    </xf>
    <xf numFmtId="0" fontId="22" fillId="2" borderId="0" xfId="14" applyFont="1" applyFill="1" applyAlignment="1">
      <alignment horizontal="left"/>
    </xf>
    <xf numFmtId="0" fontId="22" fillId="2" borderId="0" xfId="14" applyFont="1" applyFill="1" applyAlignment="1"/>
    <xf numFmtId="0" fontId="22" fillId="2" borderId="0" xfId="14" applyFont="1" applyFill="1"/>
    <xf numFmtId="0" fontId="23" fillId="2" borderId="0" xfId="14" applyFont="1" applyFill="1"/>
    <xf numFmtId="0" fontId="2" fillId="0" borderId="0" xfId="14"/>
    <xf numFmtId="0" fontId="17" fillId="2" borderId="3" xfId="14" applyFont="1" applyFill="1" applyBorder="1" applyAlignment="1">
      <alignment horizontal="right"/>
    </xf>
    <xf numFmtId="164" fontId="17" fillId="2" borderId="4" xfId="14" applyNumberFormat="1" applyFont="1" applyFill="1" applyBorder="1"/>
    <xf numFmtId="16" fontId="28" fillId="2" borderId="5" xfId="1" applyNumberFormat="1" applyFont="1" applyFill="1" applyBorder="1" applyAlignment="1">
      <alignment horizontal="center"/>
    </xf>
    <xf numFmtId="0" fontId="28" fillId="0" borderId="10" xfId="8" applyFont="1" applyBorder="1" applyProtection="1">
      <protection locked="0"/>
    </xf>
    <xf numFmtId="164" fontId="28" fillId="0" borderId="11" xfId="1" applyFont="1" applyFill="1" applyBorder="1" applyAlignment="1" applyProtection="1">
      <alignment vertical="center"/>
      <protection locked="0"/>
    </xf>
    <xf numFmtId="0" fontId="21" fillId="2" borderId="0" xfId="8" applyFont="1" applyFill="1" applyAlignment="1">
      <alignment horizontal="center"/>
    </xf>
    <xf numFmtId="0" fontId="16" fillId="2" borderId="0" xfId="12" applyFont="1" applyFill="1" applyAlignment="1">
      <alignment horizontal="center"/>
    </xf>
    <xf numFmtId="0" fontId="46" fillId="2" borderId="0" xfId="12" applyFont="1" applyFill="1" applyAlignment="1">
      <alignment horizontal="left"/>
    </xf>
    <xf numFmtId="0" fontId="50" fillId="2" borderId="0" xfId="12" applyFont="1" applyFill="1" applyAlignment="1">
      <alignment horizontal="center"/>
    </xf>
    <xf numFmtId="0" fontId="28" fillId="2" borderId="5" xfId="12" applyFont="1" applyFill="1" applyBorder="1" applyAlignment="1">
      <alignment horizontal="center" wrapText="1"/>
    </xf>
    <xf numFmtId="0" fontId="7" fillId="3" borderId="5" xfId="14" applyFont="1" applyFill="1" applyBorder="1" applyAlignment="1">
      <alignment horizontal="center"/>
    </xf>
    <xf numFmtId="0" fontId="17" fillId="2" borderId="5" xfId="14" applyFont="1" applyFill="1" applyBorder="1" applyAlignment="1">
      <alignment horizontal="left" vertical="top"/>
    </xf>
    <xf numFmtId="0" fontId="17" fillId="2" borderId="6" xfId="14" applyFont="1" applyFill="1" applyBorder="1" applyAlignment="1">
      <alignment horizontal="right" vertical="top"/>
    </xf>
    <xf numFmtId="164" fontId="17" fillId="2" borderId="7" xfId="14" applyNumberFormat="1" applyFont="1" applyFill="1" applyBorder="1" applyAlignment="1">
      <alignment vertical="top"/>
    </xf>
    <xf numFmtId="164" fontId="17" fillId="2" borderId="0" xfId="14" applyNumberFormat="1" applyFont="1" applyFill="1" applyAlignment="1">
      <alignment vertical="top"/>
    </xf>
    <xf numFmtId="0" fontId="17" fillId="2" borderId="0" xfId="14" applyFont="1" applyFill="1" applyAlignment="1">
      <alignment vertical="top"/>
    </xf>
    <xf numFmtId="0" fontId="28" fillId="4" borderId="14" xfId="10" applyFont="1" applyFill="1" applyBorder="1" applyAlignment="1">
      <alignment horizontal="center" vertical="center" wrapText="1"/>
    </xf>
    <xf numFmtId="0" fontId="28" fillId="4" borderId="5" xfId="10" applyFont="1" applyFill="1" applyBorder="1" applyAlignment="1">
      <alignment horizontal="center" vertical="center" wrapText="1"/>
    </xf>
    <xf numFmtId="14" fontId="28" fillId="2" borderId="5" xfId="10" quotePrefix="1" applyNumberFormat="1" applyFont="1" applyFill="1" applyBorder="1" applyAlignment="1">
      <alignment horizontal="center" vertical="center" wrapText="1"/>
    </xf>
    <xf numFmtId="14" fontId="28" fillId="2" borderId="13" xfId="10" quotePrefix="1" applyNumberFormat="1" applyFont="1" applyFill="1" applyBorder="1" applyAlignment="1">
      <alignment horizontal="center" vertical="center" wrapText="1"/>
    </xf>
    <xf numFmtId="0" fontId="27" fillId="2" borderId="5" xfId="10" applyFont="1" applyFill="1" applyBorder="1" applyAlignment="1">
      <alignment horizontal="center" vertical="center" wrapText="1"/>
    </xf>
    <xf numFmtId="0" fontId="28" fillId="2" borderId="0" xfId="8" applyFont="1" applyFill="1" applyAlignment="1">
      <alignment horizontal="center" vertical="center"/>
    </xf>
    <xf numFmtId="0" fontId="46" fillId="2" borderId="0" xfId="10" applyFont="1" applyFill="1" applyAlignment="1">
      <alignment horizontal="center" vertical="center"/>
    </xf>
    <xf numFmtId="0" fontId="50" fillId="2" borderId="0" xfId="10" applyFont="1" applyFill="1" applyAlignment="1">
      <alignment horizontal="center" vertical="center"/>
    </xf>
    <xf numFmtId="164" fontId="28" fillId="2" borderId="10" xfId="11" applyFont="1" applyFill="1" applyBorder="1" applyAlignment="1">
      <alignment horizontal="center" vertical="center"/>
    </xf>
    <xf numFmtId="0" fontId="28" fillId="2" borderId="5" xfId="12" quotePrefix="1" applyFont="1" applyFill="1" applyBorder="1" applyAlignment="1">
      <alignment wrapText="1"/>
    </xf>
    <xf numFmtId="0" fontId="28" fillId="2" borderId="5" xfId="10" applyFont="1" applyFill="1" applyBorder="1" applyAlignment="1">
      <alignment horizontal="center" vertical="center" wrapText="1"/>
    </xf>
    <xf numFmtId="0" fontId="28" fillId="2" borderId="5" xfId="10" quotePrefix="1" applyFont="1" applyFill="1" applyBorder="1" applyAlignment="1">
      <alignment horizontal="center" vertical="center" wrapText="1"/>
    </xf>
    <xf numFmtId="0" fontId="28" fillId="2" borderId="13" xfId="10" applyFont="1" applyFill="1" applyBorder="1" applyAlignment="1">
      <alignment horizontal="center" vertical="center" wrapText="1"/>
    </xf>
    <xf numFmtId="0" fontId="16" fillId="2" borderId="0" xfId="10" applyFont="1" applyFill="1" applyAlignment="1">
      <alignment horizontal="center" vertical="center"/>
    </xf>
    <xf numFmtId="0" fontId="28" fillId="2" borderId="5" xfId="10" applyFont="1" applyFill="1" applyBorder="1" applyAlignment="1">
      <alignment horizontal="center" vertical="center" wrapText="1"/>
    </xf>
    <xf numFmtId="0" fontId="28" fillId="2" borderId="5" xfId="10" quotePrefix="1" applyFont="1" applyFill="1" applyBorder="1" applyAlignment="1">
      <alignment vertical="center" wrapText="1"/>
    </xf>
    <xf numFmtId="17" fontId="28" fillId="2" borderId="5" xfId="10" quotePrefix="1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right"/>
    </xf>
    <xf numFmtId="164" fontId="28" fillId="2" borderId="9" xfId="1" applyFont="1" applyFill="1" applyBorder="1"/>
    <xf numFmtId="0" fontId="28" fillId="4" borderId="8" xfId="0" applyFont="1" applyFill="1" applyBorder="1" applyAlignment="1">
      <alignment horizontal="right"/>
    </xf>
    <xf numFmtId="164" fontId="28" fillId="2" borderId="9" xfId="1" applyFont="1" applyFill="1" applyBorder="1" applyAlignment="1">
      <alignment horizontal="center"/>
    </xf>
    <xf numFmtId="0" fontId="21" fillId="4" borderId="8" xfId="0" applyFont="1" applyFill="1" applyBorder="1" applyAlignment="1">
      <alignment horizontal="right"/>
    </xf>
    <xf numFmtId="164" fontId="21" fillId="4" borderId="9" xfId="1" applyFont="1" applyFill="1" applyBorder="1"/>
    <xf numFmtId="0" fontId="21" fillId="2" borderId="8" xfId="0" applyFont="1" applyFill="1" applyBorder="1" applyAlignment="1">
      <alignment horizontal="right"/>
    </xf>
    <xf numFmtId="164" fontId="21" fillId="2" borderId="9" xfId="1" applyFont="1" applyFill="1" applyBorder="1"/>
    <xf numFmtId="164" fontId="21" fillId="2" borderId="9" xfId="1" applyFont="1" applyFill="1" applyBorder="1" applyAlignment="1">
      <alignment horizontal="center"/>
    </xf>
    <xf numFmtId="164" fontId="21" fillId="2" borderId="9" xfId="1" applyFont="1" applyFill="1" applyBorder="1" applyAlignment="1"/>
    <xf numFmtId="164" fontId="21" fillId="2" borderId="9" xfId="0" applyNumberFormat="1" applyFont="1" applyFill="1" applyBorder="1"/>
    <xf numFmtId="0" fontId="26" fillId="2" borderId="7" xfId="0" applyFont="1" applyFill="1" applyBorder="1" applyAlignment="1">
      <alignment horizontal="center"/>
    </xf>
    <xf numFmtId="0" fontId="26" fillId="2" borderId="7" xfId="5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164" fontId="28" fillId="2" borderId="6" xfId="1" applyFont="1" applyFill="1" applyBorder="1" applyAlignment="1">
      <alignment horizontal="center"/>
    </xf>
    <xf numFmtId="164" fontId="28" fillId="2" borderId="0" xfId="1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7" xfId="5" applyFont="1" applyFill="1" applyBorder="1" applyAlignment="1">
      <alignment horizontal="center"/>
    </xf>
    <xf numFmtId="0" fontId="55" fillId="2" borderId="0" xfId="0" applyFont="1" applyFill="1"/>
    <xf numFmtId="0" fontId="56" fillId="2" borderId="0" xfId="0" applyFont="1" applyFill="1"/>
    <xf numFmtId="0" fontId="28" fillId="2" borderId="0" xfId="0" applyFont="1" applyFill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164" fontId="28" fillId="2" borderId="0" xfId="1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41" fillId="2" borderId="0" xfId="0" applyFont="1" applyFill="1" applyAlignment="1">
      <alignment horizontal="center"/>
    </xf>
    <xf numFmtId="0" fontId="27" fillId="4" borderId="3" xfId="8" applyFont="1" applyFill="1" applyBorder="1" applyAlignment="1" applyProtection="1">
      <alignment horizontal="left" vertical="center"/>
      <protection locked="0"/>
    </xf>
    <xf numFmtId="0" fontId="27" fillId="2" borderId="7" xfId="0" applyFont="1" applyFill="1" applyBorder="1" applyAlignment="1">
      <alignment horizontal="center"/>
    </xf>
    <xf numFmtId="164" fontId="28" fillId="2" borderId="6" xfId="1" applyFont="1" applyFill="1" applyBorder="1" applyAlignment="1">
      <alignment horizontal="center"/>
    </xf>
    <xf numFmtId="164" fontId="28" fillId="2" borderId="0" xfId="1" applyFont="1" applyFill="1" applyBorder="1" applyAlignment="1">
      <alignment horizontal="center"/>
    </xf>
    <xf numFmtId="0" fontId="27" fillId="2" borderId="0" xfId="0" applyFont="1" applyFill="1" applyBorder="1" applyAlignment="1"/>
    <xf numFmtId="0" fontId="27" fillId="2" borderId="0" xfId="0" applyFont="1" applyFill="1" applyBorder="1"/>
    <xf numFmtId="0" fontId="28" fillId="2" borderId="0" xfId="0" applyFont="1" applyFill="1" applyBorder="1" applyAlignment="1"/>
    <xf numFmtId="0" fontId="28" fillId="2" borderId="0" xfId="0" applyFont="1" applyFill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164" fontId="21" fillId="2" borderId="0" xfId="1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right"/>
    </xf>
    <xf numFmtId="164" fontId="26" fillId="4" borderId="4" xfId="1" applyFont="1" applyFill="1" applyBorder="1"/>
    <xf numFmtId="0" fontId="21" fillId="2" borderId="3" xfId="0" applyFont="1" applyFill="1" applyBorder="1" applyAlignment="1">
      <alignment horizontal="left"/>
    </xf>
    <xf numFmtId="0" fontId="26" fillId="2" borderId="4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164" fontId="21" fillId="2" borderId="4" xfId="1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41" fillId="2" borderId="0" xfId="0" applyFont="1" applyFill="1" applyAlignment="1"/>
    <xf numFmtId="0" fontId="26" fillId="2" borderId="0" xfId="0" applyFont="1" applyFill="1" applyBorder="1" applyAlignment="1"/>
    <xf numFmtId="0" fontId="26" fillId="2" borderId="7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6" fillId="2" borderId="7" xfId="0" applyFont="1" applyFill="1" applyBorder="1" applyAlignment="1">
      <alignment horizontal="center"/>
    </xf>
    <xf numFmtId="164" fontId="28" fillId="2" borderId="6" xfId="1" applyFont="1" applyFill="1" applyBorder="1" applyAlignment="1">
      <alignment horizontal="center"/>
    </xf>
    <xf numFmtId="164" fontId="28" fillId="2" borderId="0" xfId="1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7" fillId="2" borderId="7" xfId="0" applyFont="1" applyFill="1" applyBorder="1" applyAlignment="1">
      <alignment horizontal="center"/>
    </xf>
    <xf numFmtId="164" fontId="28" fillId="2" borderId="0" xfId="1" applyFont="1" applyFill="1" applyBorder="1" applyAlignment="1">
      <alignment horizontal="center"/>
    </xf>
    <xf numFmtId="0" fontId="6" fillId="2" borderId="0" xfId="8" applyFont="1" applyFill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35" fillId="2" borderId="0" xfId="0" applyFont="1" applyFill="1" applyAlignment="1"/>
    <xf numFmtId="0" fontId="26" fillId="2" borderId="3" xfId="8" applyFont="1" applyFill="1" applyBorder="1" applyAlignment="1">
      <alignment horizontal="left"/>
    </xf>
    <xf numFmtId="0" fontId="26" fillId="2" borderId="4" xfId="8" applyFont="1" applyFill="1" applyBorder="1" applyAlignment="1">
      <alignment horizontal="center"/>
    </xf>
    <xf numFmtId="0" fontId="21" fillId="2" borderId="14" xfId="8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1" fillId="2" borderId="10" xfId="0" applyFont="1" applyFill="1" applyBorder="1"/>
    <xf numFmtId="0" fontId="21" fillId="2" borderId="11" xfId="0" applyFont="1" applyFill="1" applyBorder="1" applyAlignment="1">
      <alignment horizontal="left"/>
    </xf>
    <xf numFmtId="164" fontId="21" fillId="2" borderId="6" xfId="1" applyFont="1" applyFill="1" applyBorder="1" applyAlignment="1">
      <alignment horizontal="center"/>
    </xf>
    <xf numFmtId="164" fontId="21" fillId="2" borderId="0" xfId="1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8" fillId="4" borderId="6" xfId="0" applyFont="1" applyFill="1" applyBorder="1" applyAlignment="1">
      <alignment horizontal="right"/>
    </xf>
    <xf numFmtId="164" fontId="26" fillId="2" borderId="12" xfId="1" applyFont="1" applyFill="1" applyBorder="1" applyAlignment="1"/>
    <xf numFmtId="0" fontId="26" fillId="2" borderId="7" xfId="0" applyFont="1" applyFill="1" applyBorder="1" applyAlignment="1">
      <alignment horizontal="center"/>
    </xf>
    <xf numFmtId="0" fontId="20" fillId="2" borderId="0" xfId="8" applyFont="1" applyFill="1" applyAlignment="1"/>
    <xf numFmtId="0" fontId="6" fillId="2" borderId="0" xfId="8" applyFont="1" applyFill="1" applyAlignment="1"/>
    <xf numFmtId="0" fontId="21" fillId="2" borderId="6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8" fillId="2" borderId="5" xfId="10" applyFont="1" applyFill="1" applyBorder="1" applyAlignment="1">
      <alignment horizontal="center" vertical="center" wrapText="1"/>
    </xf>
    <xf numFmtId="14" fontId="28" fillId="2" borderId="5" xfId="10" quotePrefix="1" applyNumberFormat="1" applyFont="1" applyFill="1" applyBorder="1" applyAlignment="1">
      <alignment horizontal="center" vertical="top" wrapText="1"/>
    </xf>
    <xf numFmtId="0" fontId="28" fillId="2" borderId="5" xfId="10" quotePrefix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8" fillId="0" borderId="0" xfId="0" applyFont="1"/>
    <xf numFmtId="164" fontId="14" fillId="0" borderId="0" xfId="1" applyFont="1"/>
    <xf numFmtId="0" fontId="59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164" fontId="60" fillId="0" borderId="0" xfId="1" applyFont="1"/>
    <xf numFmtId="0" fontId="28" fillId="2" borderId="5" xfId="10" applyFont="1" applyFill="1" applyBorder="1" applyAlignment="1">
      <alignment horizontal="center" vertical="center"/>
    </xf>
    <xf numFmtId="17" fontId="21" fillId="2" borderId="5" xfId="0" applyNumberFormat="1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164" fontId="21" fillId="2" borderId="0" xfId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1" xfId="8" applyFont="1" applyFill="1" applyBorder="1" applyAlignment="1">
      <alignment horizontal="center"/>
    </xf>
    <xf numFmtId="0" fontId="26" fillId="2" borderId="7" xfId="8" applyFont="1" applyFill="1" applyBorder="1" applyAlignment="1">
      <alignment horizontal="center"/>
    </xf>
    <xf numFmtId="0" fontId="26" fillId="4" borderId="6" xfId="0" applyFont="1" applyFill="1" applyBorder="1" applyAlignment="1">
      <alignment horizontal="left"/>
    </xf>
    <xf numFmtId="0" fontId="21" fillId="4" borderId="10" xfId="0" applyFont="1" applyFill="1" applyBorder="1" applyAlignment="1">
      <alignment horizontal="left"/>
    </xf>
    <xf numFmtId="164" fontId="26" fillId="2" borderId="0" xfId="1" applyFont="1" applyFill="1" applyBorder="1" applyAlignment="1"/>
    <xf numFmtId="0" fontId="26" fillId="2" borderId="12" xfId="8" applyFont="1" applyFill="1" applyBorder="1" applyAlignment="1">
      <alignment horizontal="center"/>
    </xf>
    <xf numFmtId="0" fontId="21" fillId="2" borderId="12" xfId="8" applyFont="1" applyFill="1" applyBorder="1" applyAlignment="1">
      <alignment horizontal="center"/>
    </xf>
    <xf numFmtId="164" fontId="26" fillId="2" borderId="12" xfId="9" applyFont="1" applyFill="1" applyBorder="1"/>
    <xf numFmtId="164" fontId="61" fillId="2" borderId="11" xfId="1" applyFont="1" applyFill="1" applyBorder="1"/>
    <xf numFmtId="0" fontId="26" fillId="2" borderId="7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7" xfId="0" applyFont="1" applyFill="1" applyBorder="1" applyAlignment="1">
      <alignment vertical="top" wrapText="1"/>
    </xf>
    <xf numFmtId="164" fontId="61" fillId="2" borderId="7" xfId="1" applyFont="1" applyFill="1" applyBorder="1"/>
    <xf numFmtId="164" fontId="62" fillId="2" borderId="7" xfId="1" applyFont="1" applyFill="1" applyBorder="1"/>
    <xf numFmtId="0" fontId="26" fillId="2" borderId="1" xfId="0" applyFont="1" applyFill="1" applyBorder="1" applyAlignment="1">
      <alignment horizontal="right"/>
    </xf>
    <xf numFmtId="0" fontId="21" fillId="2" borderId="3" xfId="8" applyFont="1" applyFill="1" applyBorder="1" applyAlignment="1">
      <alignment horizontal="right"/>
    </xf>
    <xf numFmtId="0" fontId="27" fillId="2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left"/>
    </xf>
    <xf numFmtId="0" fontId="28" fillId="0" borderId="0" xfId="8" applyFont="1" applyBorder="1" applyAlignment="1" applyProtection="1">
      <alignment vertical="center" wrapText="1"/>
      <protection locked="0"/>
    </xf>
    <xf numFmtId="0" fontId="28" fillId="3" borderId="14" xfId="8" applyFont="1" applyFill="1" applyBorder="1" applyAlignment="1">
      <alignment horizontal="center"/>
    </xf>
    <xf numFmtId="0" fontId="28" fillId="2" borderId="5" xfId="10" applyFont="1" applyFill="1" applyBorder="1" applyAlignment="1">
      <alignment horizontal="center" vertical="center" wrapText="1"/>
    </xf>
    <xf numFmtId="14" fontId="28" fillId="2" borderId="5" xfId="10" quotePrefix="1" applyNumberFormat="1" applyFont="1" applyFill="1" applyBorder="1" applyAlignment="1">
      <alignment horizontal="center" vertical="top" wrapText="1"/>
    </xf>
    <xf numFmtId="0" fontId="28" fillId="2" borderId="5" xfId="10" quotePrefix="1" applyFont="1" applyFill="1" applyBorder="1" applyAlignment="1">
      <alignment horizontal="center" vertical="center" wrapText="1"/>
    </xf>
    <xf numFmtId="0" fontId="28" fillId="2" borderId="5" xfId="1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center"/>
    </xf>
    <xf numFmtId="0" fontId="28" fillId="0" borderId="10" xfId="8" applyFont="1" applyBorder="1" applyAlignment="1" applyProtection="1">
      <alignment horizontal="left" vertical="center"/>
      <protection locked="0"/>
    </xf>
    <xf numFmtId="0" fontId="28" fillId="0" borderId="10" xfId="8" applyFont="1" applyBorder="1" applyAlignment="1">
      <alignment horizontal="left" vertical="center"/>
    </xf>
    <xf numFmtId="0" fontId="28" fillId="0" borderId="1" xfId="8" applyFont="1" applyBorder="1" applyAlignment="1" applyProtection="1">
      <alignment horizontal="left" vertical="center"/>
      <protection locked="0"/>
    </xf>
    <xf numFmtId="0" fontId="28" fillId="0" borderId="1" xfId="8" applyFont="1" applyBorder="1" applyProtection="1">
      <protection locked="0"/>
    </xf>
    <xf numFmtId="0" fontId="28" fillId="0" borderId="1" xfId="8" applyFont="1" applyBorder="1" applyAlignment="1">
      <alignment horizontal="center" vertical="center"/>
    </xf>
    <xf numFmtId="164" fontId="28" fillId="0" borderId="11" xfId="1" applyFont="1" applyBorder="1" applyAlignment="1">
      <alignment horizontal="right" vertical="center"/>
    </xf>
    <xf numFmtId="0" fontId="26" fillId="2" borderId="0" xfId="8" applyFont="1" applyFill="1" applyAlignment="1">
      <alignment horizontal="center"/>
    </xf>
    <xf numFmtId="0" fontId="21" fillId="2" borderId="0" xfId="8" applyFont="1" applyFill="1" applyAlignment="1">
      <alignment horizontal="center"/>
    </xf>
    <xf numFmtId="0" fontId="28" fillId="3" borderId="14" xfId="8" applyFont="1" applyFill="1" applyBorder="1" applyAlignment="1">
      <alignment horizontal="center"/>
    </xf>
    <xf numFmtId="0" fontId="28" fillId="2" borderId="5" xfId="10" applyFont="1" applyFill="1" applyBorder="1" applyAlignment="1">
      <alignment horizontal="center" vertical="center" wrapText="1"/>
    </xf>
    <xf numFmtId="0" fontId="28" fillId="2" borderId="5" xfId="10" quotePrefix="1" applyFont="1" applyFill="1" applyBorder="1" applyAlignment="1">
      <alignment horizontal="center" vertical="center" wrapText="1"/>
    </xf>
    <xf numFmtId="0" fontId="28" fillId="0" borderId="0" xfId="5" applyFont="1" applyBorder="1" applyAlignment="1">
      <alignment horizontal="left"/>
    </xf>
    <xf numFmtId="0" fontId="28" fillId="2" borderId="5" xfId="10" applyFont="1" applyFill="1" applyBorder="1" applyAlignment="1">
      <alignment horizontal="center" vertical="center" wrapText="1"/>
    </xf>
    <xf numFmtId="0" fontId="28" fillId="2" borderId="5" xfId="10" quotePrefix="1" applyFont="1" applyFill="1" applyBorder="1" applyAlignment="1">
      <alignment horizontal="center" vertical="center" wrapText="1"/>
    </xf>
    <xf numFmtId="0" fontId="27" fillId="2" borderId="8" xfId="8" applyFont="1" applyFill="1" applyBorder="1" applyAlignment="1">
      <alignment horizontal="right"/>
    </xf>
    <xf numFmtId="0" fontId="28" fillId="2" borderId="1" xfId="8" applyFont="1" applyFill="1" applyBorder="1"/>
    <xf numFmtId="0" fontId="28" fillId="0" borderId="13" xfId="8" applyFont="1" applyBorder="1" applyAlignment="1">
      <alignment horizontal="center" vertical="center"/>
    </xf>
    <xf numFmtId="0" fontId="28" fillId="2" borderId="13" xfId="10" applyFont="1" applyFill="1" applyBorder="1" applyAlignment="1">
      <alignment horizontal="center" vertical="center"/>
    </xf>
    <xf numFmtId="0" fontId="28" fillId="2" borderId="5" xfId="12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center"/>
    </xf>
    <xf numFmtId="0" fontId="28" fillId="2" borderId="10" xfId="1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164" fontId="63" fillId="2" borderId="0" xfId="1" applyFont="1" applyFill="1"/>
    <xf numFmtId="164" fontId="63" fillId="4" borderId="0" xfId="1" applyFont="1" applyFill="1"/>
    <xf numFmtId="164" fontId="64" fillId="2" borderId="11" xfId="1" applyFont="1" applyFill="1" applyBorder="1"/>
    <xf numFmtId="164" fontId="65" fillId="2" borderId="0" xfId="1" applyFont="1" applyFill="1"/>
    <xf numFmtId="164" fontId="64" fillId="2" borderId="0" xfId="1" applyFont="1" applyFill="1"/>
    <xf numFmtId="0" fontId="63" fillId="2" borderId="0" xfId="0" applyFont="1" applyFill="1"/>
    <xf numFmtId="0" fontId="63" fillId="4" borderId="0" xfId="0" applyFont="1" applyFill="1"/>
    <xf numFmtId="43" fontId="63" fillId="2" borderId="0" xfId="0" applyNumberFormat="1" applyFont="1" applyFill="1"/>
    <xf numFmtId="0" fontId="65" fillId="2" borderId="0" xfId="0" applyFont="1" applyFill="1"/>
    <xf numFmtId="0" fontId="64" fillId="2" borderId="0" xfId="0" applyFont="1" applyFill="1"/>
    <xf numFmtId="0" fontId="64" fillId="2" borderId="0" xfId="0" applyFont="1" applyFill="1" applyAlignment="1">
      <alignment horizontal="right"/>
    </xf>
    <xf numFmtId="0" fontId="63" fillId="2" borderId="0" xfId="0" applyFont="1" applyFill="1" applyAlignment="1">
      <alignment horizontal="right"/>
    </xf>
    <xf numFmtId="0" fontId="66" fillId="2" borderId="0" xfId="8" applyFont="1" applyFill="1"/>
    <xf numFmtId="0" fontId="67" fillId="2" borderId="0" xfId="8" applyFont="1" applyFill="1"/>
    <xf numFmtId="0" fontId="68" fillId="2" borderId="0" xfId="8" applyFont="1" applyFill="1" applyAlignment="1"/>
    <xf numFmtId="0" fontId="66" fillId="4" borderId="0" xfId="8" applyFont="1" applyFill="1"/>
    <xf numFmtId="0" fontId="66" fillId="2" borderId="0" xfId="8" applyFont="1" applyFill="1" applyBorder="1"/>
    <xf numFmtId="164" fontId="66" fillId="2" borderId="0" xfId="8" applyNumberFormat="1" applyFont="1" applyFill="1"/>
    <xf numFmtId="0" fontId="69" fillId="2" borderId="0" xfId="8" applyFont="1" applyFill="1"/>
    <xf numFmtId="43" fontId="66" fillId="2" borderId="0" xfId="8" applyNumberFormat="1" applyFont="1" applyFill="1"/>
    <xf numFmtId="0" fontId="70" fillId="2" borderId="0" xfId="8" applyFont="1" applyFill="1"/>
    <xf numFmtId="0" fontId="71" fillId="2" borderId="0" xfId="8" applyFont="1" applyFill="1" applyAlignment="1"/>
    <xf numFmtId="0" fontId="72" fillId="2" borderId="0" xfId="8" applyFont="1" applyFill="1"/>
    <xf numFmtId="0" fontId="73" fillId="2" borderId="0" xfId="8" applyFont="1" applyFill="1" applyAlignment="1"/>
    <xf numFmtId="0" fontId="73" fillId="2" borderId="0" xfId="8" applyFont="1" applyFill="1" applyAlignment="1">
      <alignment horizontal="center"/>
    </xf>
    <xf numFmtId="0" fontId="73" fillId="2" borderId="0" xfId="8" applyFont="1" applyFill="1"/>
    <xf numFmtId="164" fontId="73" fillId="2" borderId="0" xfId="1" applyFont="1" applyFill="1" applyAlignment="1"/>
    <xf numFmtId="0" fontId="73" fillId="2" borderId="0" xfId="8" applyFont="1" applyFill="1" applyAlignment="1">
      <alignment horizontal="right"/>
    </xf>
    <xf numFmtId="0" fontId="74" fillId="2" borderId="0" xfId="8" applyFont="1" applyFill="1" applyAlignment="1"/>
    <xf numFmtId="0" fontId="75" fillId="2" borderId="0" xfId="8" applyFont="1" applyFill="1"/>
    <xf numFmtId="0" fontId="76" fillId="2" borderId="0" xfId="10" applyFont="1" applyFill="1" applyAlignment="1">
      <alignment vertical="center"/>
    </xf>
    <xf numFmtId="0" fontId="76" fillId="2" borderId="0" xfId="10" applyFont="1" applyFill="1" applyAlignment="1">
      <alignment horizontal="center" vertical="center"/>
    </xf>
    <xf numFmtId="0" fontId="77" fillId="2" borderId="0" xfId="10" applyFont="1" applyFill="1" applyAlignment="1">
      <alignment vertical="center"/>
    </xf>
    <xf numFmtId="0" fontId="63" fillId="2" borderId="0" xfId="10" applyFont="1" applyFill="1" applyAlignment="1">
      <alignment vertical="center"/>
    </xf>
    <xf numFmtId="0" fontId="78" fillId="2" borderId="0" xfId="10" applyFont="1" applyFill="1" applyAlignment="1">
      <alignment horizontal="center" vertical="center"/>
    </xf>
    <xf numFmtId="0" fontId="78" fillId="2" borderId="0" xfId="10" applyFont="1" applyFill="1" applyAlignment="1">
      <alignment horizontal="left" vertical="center"/>
    </xf>
    <xf numFmtId="0" fontId="79" fillId="0" borderId="0" xfId="10" applyFont="1" applyAlignment="1">
      <alignment vertical="center"/>
    </xf>
    <xf numFmtId="0" fontId="80" fillId="2" borderId="0" xfId="12" applyFont="1" applyFill="1" applyAlignment="1">
      <alignment horizontal="left"/>
    </xf>
    <xf numFmtId="0" fontId="80" fillId="2" borderId="0" xfId="12" applyFont="1" applyFill="1" applyAlignment="1"/>
    <xf numFmtId="0" fontId="81" fillId="2" borderId="0" xfId="14" applyFont="1" applyFill="1" applyAlignment="1">
      <alignment horizontal="left"/>
    </xf>
    <xf numFmtId="0" fontId="81" fillId="2" borderId="0" xfId="14" applyFont="1" applyFill="1" applyAlignment="1"/>
    <xf numFmtId="0" fontId="1" fillId="0" borderId="0" xfId="14" applyFont="1"/>
    <xf numFmtId="0" fontId="81" fillId="2" borderId="0" xfId="14" applyFont="1" applyFill="1" applyAlignment="1">
      <alignment horizontal="center"/>
    </xf>
    <xf numFmtId="0" fontId="81" fillId="2" borderId="0" xfId="14" applyFont="1" applyFill="1"/>
    <xf numFmtId="0" fontId="69" fillId="2" borderId="0" xfId="0" applyFont="1" applyFill="1"/>
    <xf numFmtId="0" fontId="69" fillId="2" borderId="0" xfId="0" applyFont="1" applyFill="1" applyAlignment="1">
      <alignment horizontal="center"/>
    </xf>
    <xf numFmtId="164" fontId="69" fillId="2" borderId="0" xfId="0" applyNumberFormat="1" applyFont="1" applyFill="1"/>
    <xf numFmtId="0" fontId="82" fillId="2" borderId="0" xfId="0" applyFont="1" applyFill="1" applyAlignment="1">
      <alignment horizontal="right"/>
    </xf>
    <xf numFmtId="0" fontId="83" fillId="2" borderId="0" xfId="0" applyFont="1" applyFill="1"/>
    <xf numFmtId="0" fontId="69" fillId="2" borderId="0" xfId="0" applyFont="1" applyFill="1" applyAlignment="1">
      <alignment horizontal="right"/>
    </xf>
    <xf numFmtId="0" fontId="83" fillId="2" borderId="0" xfId="0" applyFont="1" applyFill="1" applyAlignment="1">
      <alignment horizontal="center"/>
    </xf>
    <xf numFmtId="0" fontId="84" fillId="2" borderId="0" xfId="0" applyFont="1" applyFill="1" applyAlignment="1">
      <alignment horizontal="center"/>
    </xf>
    <xf numFmtId="0" fontId="69" fillId="2" borderId="3" xfId="0" applyFont="1" applyFill="1" applyBorder="1" applyAlignment="1">
      <alignment horizontal="right"/>
    </xf>
    <xf numFmtId="164" fontId="69" fillId="2" borderId="4" xfId="1" applyFont="1" applyFill="1" applyBorder="1"/>
    <xf numFmtId="0" fontId="69" fillId="2" borderId="6" xfId="0" applyFont="1" applyFill="1" applyBorder="1" applyAlignment="1">
      <alignment horizontal="right"/>
    </xf>
    <xf numFmtId="164" fontId="69" fillId="2" borderId="7" xfId="2" applyFont="1" applyFill="1" applyBorder="1"/>
    <xf numFmtId="0" fontId="69" fillId="2" borderId="10" xfId="0" applyFont="1" applyFill="1" applyBorder="1" applyAlignment="1">
      <alignment horizontal="right"/>
    </xf>
    <xf numFmtId="164" fontId="69" fillId="2" borderId="11" xfId="2" applyFont="1" applyFill="1" applyBorder="1"/>
    <xf numFmtId="0" fontId="69" fillId="2" borderId="8" xfId="0" applyFont="1" applyFill="1" applyBorder="1" applyAlignment="1">
      <alignment horizontal="right"/>
    </xf>
    <xf numFmtId="164" fontId="69" fillId="2" borderId="9" xfId="2" applyFont="1" applyFill="1" applyBorder="1"/>
    <xf numFmtId="0" fontId="83" fillId="2" borderId="8" xfId="0" applyFont="1" applyFill="1" applyBorder="1" applyAlignment="1">
      <alignment horizontal="right"/>
    </xf>
    <xf numFmtId="164" fontId="83" fillId="2" borderId="9" xfId="2" applyFont="1" applyFill="1" applyBorder="1"/>
    <xf numFmtId="0" fontId="83" fillId="2" borderId="6" xfId="0" applyFont="1" applyFill="1" applyBorder="1" applyAlignment="1">
      <alignment horizontal="right"/>
    </xf>
    <xf numFmtId="164" fontId="83" fillId="2" borderId="7" xfId="2" applyFont="1" applyFill="1" applyBorder="1"/>
    <xf numFmtId="0" fontId="83" fillId="2" borderId="10" xfId="0" applyFont="1" applyFill="1" applyBorder="1" applyAlignment="1">
      <alignment horizontal="right"/>
    </xf>
    <xf numFmtId="164" fontId="83" fillId="2" borderId="11" xfId="2" applyFont="1" applyFill="1" applyBorder="1"/>
    <xf numFmtId="0" fontId="69" fillId="2" borderId="0" xfId="0" applyFont="1" applyFill="1" applyBorder="1" applyAlignment="1">
      <alignment horizontal="right"/>
    </xf>
    <xf numFmtId="164" fontId="69" fillId="2" borderId="0" xfId="1" applyFont="1" applyFill="1" applyBorder="1"/>
    <xf numFmtId="0" fontId="82" fillId="2" borderId="0" xfId="0" applyFont="1" applyFill="1"/>
    <xf numFmtId="0" fontId="83" fillId="2" borderId="0" xfId="0" applyFont="1" applyFill="1" applyAlignment="1"/>
    <xf numFmtId="0" fontId="69" fillId="2" borderId="0" xfId="0" applyFont="1" applyFill="1" applyAlignment="1"/>
    <xf numFmtId="0" fontId="69" fillId="4" borderId="0" xfId="0" applyFont="1" applyFill="1" applyBorder="1"/>
    <xf numFmtId="0" fontId="69" fillId="4" borderId="0" xfId="0" applyFont="1" applyFill="1" applyBorder="1" applyAlignment="1">
      <alignment horizontal="center"/>
    </xf>
    <xf numFmtId="164" fontId="69" fillId="2" borderId="0" xfId="1" applyFont="1" applyFill="1"/>
    <xf numFmtId="164" fontId="69" fillId="4" borderId="0" xfId="1" applyFont="1" applyFill="1" applyBorder="1"/>
    <xf numFmtId="0" fontId="82" fillId="4" borderId="0" xfId="0" applyFont="1" applyFill="1" applyBorder="1" applyAlignment="1">
      <alignment horizontal="center"/>
    </xf>
    <xf numFmtId="0" fontId="83" fillId="4" borderId="0" xfId="0" applyFont="1" applyFill="1" applyBorder="1"/>
    <xf numFmtId="0" fontId="69" fillId="4" borderId="8" xfId="0" applyFont="1" applyFill="1" applyBorder="1" applyAlignment="1">
      <alignment horizontal="right"/>
    </xf>
    <xf numFmtId="164" fontId="69" fillId="4" borderId="0" xfId="0" applyNumberFormat="1" applyFont="1" applyFill="1"/>
    <xf numFmtId="164" fontId="69" fillId="2" borderId="9" xfId="1" applyFont="1" applyFill="1" applyBorder="1"/>
    <xf numFmtId="0" fontId="83" fillId="2" borderId="3" xfId="0" applyFont="1" applyFill="1" applyBorder="1" applyAlignment="1">
      <alignment horizontal="right"/>
    </xf>
    <xf numFmtId="164" fontId="83" fillId="2" borderId="4" xfId="2" applyFont="1" applyFill="1" applyBorder="1"/>
    <xf numFmtId="0" fontId="83" fillId="2" borderId="12" xfId="0" applyFont="1" applyFill="1" applyBorder="1" applyAlignment="1">
      <alignment horizontal="right"/>
    </xf>
    <xf numFmtId="164" fontId="83" fillId="2" borderId="12" xfId="2" applyFont="1" applyFill="1" applyBorder="1"/>
    <xf numFmtId="164" fontId="83" fillId="2" borderId="0" xfId="2" applyFont="1" applyFill="1" applyBorder="1"/>
    <xf numFmtId="0" fontId="83" fillId="2" borderId="0" xfId="0" applyFont="1" applyFill="1" applyBorder="1" applyAlignment="1">
      <alignment horizontal="right"/>
    </xf>
    <xf numFmtId="0" fontId="82" fillId="2" borderId="0" xfId="0" applyFont="1" applyFill="1" applyBorder="1" applyAlignment="1">
      <alignment horizontal="right"/>
    </xf>
    <xf numFmtId="0" fontId="82" fillId="2" borderId="0" xfId="0" applyFont="1" applyFill="1" applyBorder="1"/>
    <xf numFmtId="0" fontId="69" fillId="2" borderId="0" xfId="0" applyFont="1" applyFill="1" applyBorder="1"/>
    <xf numFmtId="0" fontId="83" fillId="2" borderId="0" xfId="0" applyFont="1" applyFill="1" applyBorder="1" applyAlignment="1">
      <alignment horizontal="center"/>
    </xf>
    <xf numFmtId="0" fontId="69" fillId="2" borderId="0" xfId="0" applyFont="1" applyFill="1" applyBorder="1" applyAlignment="1">
      <alignment horizontal="center"/>
    </xf>
    <xf numFmtId="0" fontId="69" fillId="4" borderId="0" xfId="0" applyFont="1" applyFill="1"/>
    <xf numFmtId="0" fontId="82" fillId="2" borderId="0" xfId="0" applyFont="1" applyFill="1" applyAlignment="1">
      <alignment horizontal="center"/>
    </xf>
    <xf numFmtId="0" fontId="64" fillId="2" borderId="0" xfId="0" applyFont="1" applyFill="1" applyAlignment="1"/>
    <xf numFmtId="0" fontId="63" fillId="2" borderId="0" xfId="0" applyFont="1" applyFill="1" applyAlignment="1">
      <alignment horizontal="center"/>
    </xf>
    <xf numFmtId="0" fontId="85" fillId="2" borderId="0" xfId="0" applyFont="1" applyFill="1" applyAlignment="1"/>
    <xf numFmtId="0" fontId="63" fillId="2" borderId="0" xfId="0" applyFont="1" applyFill="1" applyAlignment="1"/>
    <xf numFmtId="0" fontId="63" fillId="2" borderId="6" xfId="0" applyFont="1" applyFill="1" applyBorder="1" applyAlignment="1">
      <alignment horizontal="right"/>
    </xf>
    <xf numFmtId="164" fontId="63" fillId="2" borderId="7" xfId="2" applyFont="1" applyFill="1" applyBorder="1"/>
    <xf numFmtId="0" fontId="63" fillId="2" borderId="10" xfId="0" applyFont="1" applyFill="1" applyBorder="1" applyAlignment="1">
      <alignment horizontal="right"/>
    </xf>
    <xf numFmtId="164" fontId="63" fillId="2" borderId="11" xfId="2" applyFont="1" applyFill="1" applyBorder="1"/>
    <xf numFmtId="164" fontId="63" fillId="2" borderId="0" xfId="0" applyNumberFormat="1" applyFont="1" applyFill="1"/>
    <xf numFmtId="0" fontId="63" fillId="2" borderId="8" xfId="0" applyFont="1" applyFill="1" applyBorder="1" applyAlignment="1">
      <alignment horizontal="right"/>
    </xf>
    <xf numFmtId="164" fontId="63" fillId="2" borderId="9" xfId="2" applyFont="1" applyFill="1" applyBorder="1"/>
    <xf numFmtId="164" fontId="63" fillId="2" borderId="9" xfId="1" applyFont="1" applyFill="1" applyBorder="1"/>
    <xf numFmtId="0" fontId="64" fillId="2" borderId="8" xfId="0" applyFont="1" applyFill="1" applyBorder="1" applyAlignment="1">
      <alignment horizontal="right"/>
    </xf>
    <xf numFmtId="164" fontId="64" fillId="2" borderId="9" xfId="2" applyFont="1" applyFill="1" applyBorder="1"/>
    <xf numFmtId="0" fontId="64" fillId="2" borderId="12" xfId="0" applyFont="1" applyFill="1" applyBorder="1" applyAlignment="1">
      <alignment horizontal="right"/>
    </xf>
    <xf numFmtId="164" fontId="64" fillId="2" borderId="4" xfId="2" applyFont="1" applyFill="1" applyBorder="1"/>
    <xf numFmtId="0" fontId="63" fillId="2" borderId="0" xfId="0" applyFont="1" applyFill="1" applyBorder="1" applyAlignment="1">
      <alignment horizontal="right"/>
    </xf>
    <xf numFmtId="0" fontId="64" fillId="2" borderId="3" xfId="0" applyFont="1" applyFill="1" applyBorder="1" applyAlignment="1">
      <alignment horizontal="right"/>
    </xf>
    <xf numFmtId="0" fontId="64" fillId="2" borderId="10" xfId="0" applyFont="1" applyFill="1" applyBorder="1" applyAlignment="1">
      <alignment horizontal="right"/>
    </xf>
    <xf numFmtId="164" fontId="64" fillId="2" borderId="11" xfId="2" applyFont="1" applyFill="1" applyBorder="1"/>
    <xf numFmtId="0" fontId="64" fillId="2" borderId="0" xfId="0" applyFont="1" applyFill="1" applyBorder="1" applyAlignment="1">
      <alignment horizontal="right"/>
    </xf>
    <xf numFmtId="164" fontId="64" fillId="2" borderId="0" xfId="2" applyFont="1" applyFill="1" applyBorder="1"/>
    <xf numFmtId="0" fontId="65" fillId="2" borderId="0" xfId="0" applyFont="1" applyFill="1" applyAlignment="1">
      <alignment horizontal="right"/>
    </xf>
    <xf numFmtId="164" fontId="83" fillId="2" borderId="9" xfId="1" applyFont="1" applyFill="1" applyBorder="1"/>
    <xf numFmtId="0" fontId="84" fillId="2" borderId="0" xfId="0" applyFont="1" applyFill="1" applyAlignment="1"/>
    <xf numFmtId="164" fontId="69" fillId="2" borderId="7" xfId="1" applyFont="1" applyFill="1" applyBorder="1"/>
    <xf numFmtId="164" fontId="69" fillId="2" borderId="11" xfId="1" applyFont="1" applyFill="1" applyBorder="1"/>
    <xf numFmtId="164" fontId="83" fillId="2" borderId="4" xfId="1" applyFont="1" applyFill="1" applyBorder="1"/>
    <xf numFmtId="0" fontId="69" fillId="2" borderId="12" xfId="0" applyFont="1" applyFill="1" applyBorder="1" applyAlignment="1">
      <alignment horizontal="right"/>
    </xf>
    <xf numFmtId="164" fontId="83" fillId="2" borderId="0" xfId="1" applyFont="1" applyFill="1" applyBorder="1"/>
    <xf numFmtId="164" fontId="83" fillId="2" borderId="7" xfId="1" applyFont="1" applyFill="1" applyBorder="1"/>
    <xf numFmtId="164" fontId="69" fillId="2" borderId="11" xfId="1" applyFont="1" applyFill="1" applyBorder="1" applyAlignment="1">
      <alignment horizontal="center"/>
    </xf>
    <xf numFmtId="164" fontId="69" fillId="2" borderId="9" xfId="1" applyFont="1" applyFill="1" applyBorder="1" applyAlignment="1">
      <alignment horizontal="center"/>
    </xf>
    <xf numFmtId="164" fontId="69" fillId="2" borderId="0" xfId="1" applyFont="1" applyFill="1" applyBorder="1" applyAlignment="1">
      <alignment horizontal="center"/>
    </xf>
    <xf numFmtId="164" fontId="83" fillId="2" borderId="11" xfId="1" applyFont="1" applyFill="1" applyBorder="1"/>
    <xf numFmtId="164" fontId="69" fillId="2" borderId="0" xfId="0" applyNumberFormat="1" applyFont="1" applyFill="1" applyAlignment="1"/>
    <xf numFmtId="164" fontId="69" fillId="2" borderId="0" xfId="1" applyFont="1" applyFill="1" applyAlignment="1"/>
    <xf numFmtId="0" fontId="82" fillId="2" borderId="0" xfId="0" applyFont="1" applyFill="1" applyAlignment="1"/>
    <xf numFmtId="164" fontId="69" fillId="2" borderId="7" xfId="1" applyFont="1" applyFill="1" applyBorder="1" applyAlignment="1"/>
    <xf numFmtId="164" fontId="69" fillId="2" borderId="11" xfId="1" applyFont="1" applyFill="1" applyBorder="1" applyAlignment="1"/>
    <xf numFmtId="164" fontId="69" fillId="2" borderId="9" xfId="1" applyFont="1" applyFill="1" applyBorder="1" applyAlignment="1"/>
    <xf numFmtId="164" fontId="83" fillId="2" borderId="4" xfId="1" applyFont="1" applyFill="1" applyBorder="1" applyAlignment="1"/>
    <xf numFmtId="164" fontId="69" fillId="2" borderId="4" xfId="1" applyFont="1" applyFill="1" applyBorder="1" applyAlignment="1"/>
    <xf numFmtId="164" fontId="83" fillId="2" borderId="9" xfId="1" applyFont="1" applyFill="1" applyBorder="1" applyAlignment="1"/>
    <xf numFmtId="164" fontId="83" fillId="2" borderId="12" xfId="1" applyFont="1" applyFill="1" applyBorder="1" applyAlignment="1"/>
    <xf numFmtId="164" fontId="83" fillId="2" borderId="0" xfId="1" applyFont="1" applyFill="1" applyBorder="1" applyAlignment="1"/>
    <xf numFmtId="164" fontId="83" fillId="2" borderId="11" xfId="1" applyFont="1" applyFill="1" applyBorder="1" applyAlignment="1"/>
    <xf numFmtId="164" fontId="83" fillId="2" borderId="0" xfId="0" applyNumberFormat="1" applyFont="1" applyFill="1"/>
    <xf numFmtId="164" fontId="69" fillId="2" borderId="11" xfId="0" applyNumberFormat="1" applyFont="1" applyFill="1" applyBorder="1"/>
    <xf numFmtId="164" fontId="69" fillId="2" borderId="9" xfId="0" applyNumberFormat="1" applyFont="1" applyFill="1" applyBorder="1"/>
    <xf numFmtId="164" fontId="69" fillId="2" borderId="2" xfId="1" applyFont="1" applyFill="1" applyBorder="1"/>
    <xf numFmtId="164" fontId="83" fillId="2" borderId="12" xfId="1" applyFont="1" applyFill="1" applyBorder="1"/>
    <xf numFmtId="164" fontId="83" fillId="2" borderId="1" xfId="1" applyFont="1" applyFill="1" applyBorder="1"/>
    <xf numFmtId="0" fontId="69" fillId="2" borderId="0" xfId="0" applyFont="1" applyFill="1" applyAlignment="1">
      <alignment horizontal="left"/>
    </xf>
    <xf numFmtId="0" fontId="83" fillId="2" borderId="8" xfId="0" applyFont="1" applyFill="1" applyBorder="1" applyAlignment="1">
      <alignment horizontal="right" vertical="center"/>
    </xf>
    <xf numFmtId="164" fontId="83" fillId="2" borderId="9" xfId="1" applyFont="1" applyFill="1" applyBorder="1" applyAlignment="1">
      <alignment vertical="center"/>
    </xf>
    <xf numFmtId="164" fontId="69" fillId="2" borderId="0" xfId="0" applyNumberFormat="1" applyFont="1" applyFill="1" applyAlignment="1">
      <alignment vertical="center"/>
    </xf>
    <xf numFmtId="0" fontId="69" fillId="2" borderId="0" xfId="0" applyFont="1" applyFill="1" applyAlignment="1">
      <alignment vertical="center"/>
    </xf>
    <xf numFmtId="164" fontId="69" fillId="2" borderId="6" xfId="1" applyFont="1" applyFill="1" applyBorder="1"/>
    <xf numFmtId="0" fontId="69" fillId="2" borderId="0" xfId="5" applyFont="1" applyFill="1" applyAlignment="1">
      <alignment horizontal="right"/>
    </xf>
    <xf numFmtId="0" fontId="69" fillId="2" borderId="0" xfId="5" applyFont="1" applyFill="1"/>
    <xf numFmtId="0" fontId="83" fillId="2" borderId="0" xfId="5" applyFont="1" applyFill="1" applyAlignment="1">
      <alignment horizontal="center"/>
    </xf>
    <xf numFmtId="0" fontId="84" fillId="2" borderId="0" xfId="5" applyFont="1" applyFill="1" applyAlignment="1">
      <alignment horizontal="center"/>
    </xf>
    <xf numFmtId="0" fontId="69" fillId="2" borderId="0" xfId="5" applyFont="1" applyFill="1" applyAlignment="1">
      <alignment horizontal="center"/>
    </xf>
    <xf numFmtId="0" fontId="69" fillId="2" borderId="3" xfId="5" applyFont="1" applyFill="1" applyBorder="1" applyAlignment="1">
      <alignment horizontal="right"/>
    </xf>
    <xf numFmtId="164" fontId="69" fillId="2" borderId="4" xfId="2" applyFont="1" applyFill="1" applyBorder="1"/>
    <xf numFmtId="0" fontId="69" fillId="2" borderId="6" xfId="5" applyFont="1" applyFill="1" applyBorder="1" applyAlignment="1">
      <alignment horizontal="right"/>
    </xf>
    <xf numFmtId="0" fontId="69" fillId="2" borderId="10" xfId="5" applyFont="1" applyFill="1" applyBorder="1" applyAlignment="1">
      <alignment horizontal="right"/>
    </xf>
    <xf numFmtId="0" fontId="69" fillId="2" borderId="8" xfId="5" applyFont="1" applyFill="1" applyBorder="1" applyAlignment="1">
      <alignment horizontal="right"/>
    </xf>
    <xf numFmtId="0" fontId="83" fillId="2" borderId="10" xfId="5" applyFont="1" applyFill="1" applyBorder="1" applyAlignment="1">
      <alignment horizontal="right"/>
    </xf>
    <xf numFmtId="0" fontId="83" fillId="2" borderId="6" xfId="5" applyFont="1" applyFill="1" applyBorder="1" applyAlignment="1">
      <alignment horizontal="right"/>
    </xf>
    <xf numFmtId="0" fontId="83" fillId="2" borderId="8" xfId="5" applyFont="1" applyFill="1" applyBorder="1" applyAlignment="1">
      <alignment horizontal="right"/>
    </xf>
    <xf numFmtId="0" fontId="69" fillId="2" borderId="0" xfId="5" applyFont="1" applyFill="1" applyBorder="1" applyAlignment="1">
      <alignment horizontal="right"/>
    </xf>
    <xf numFmtId="164" fontId="69" fillId="2" borderId="0" xfId="2" applyFont="1" applyFill="1" applyBorder="1"/>
    <xf numFmtId="0" fontId="82" fillId="2" borderId="0" xfId="5" applyFont="1" applyFill="1" applyAlignment="1">
      <alignment horizontal="right"/>
    </xf>
    <xf numFmtId="0" fontId="82" fillId="2" borderId="0" xfId="5" applyFont="1" applyFill="1"/>
    <xf numFmtId="164" fontId="69" fillId="4" borderId="0" xfId="1" applyFont="1" applyFill="1"/>
    <xf numFmtId="164" fontId="83" fillId="4" borderId="0" xfId="1" applyFont="1" applyFill="1" applyAlignment="1">
      <alignment horizontal="center"/>
    </xf>
    <xf numFmtId="164" fontId="84" fillId="4" borderId="0" xfId="1" applyFont="1" applyFill="1" applyAlignment="1">
      <alignment horizontal="center"/>
    </xf>
    <xf numFmtId="164" fontId="69" fillId="4" borderId="0" xfId="1" applyFont="1" applyFill="1" applyAlignment="1">
      <alignment horizontal="center"/>
    </xf>
    <xf numFmtId="164" fontId="64" fillId="4" borderId="0" xfId="1" applyFont="1" applyFill="1" applyBorder="1" applyAlignment="1">
      <alignment horizontal="center" vertical="center"/>
    </xf>
    <xf numFmtId="164" fontId="83" fillId="4" borderId="0" xfId="1" applyFont="1" applyFill="1" applyBorder="1"/>
    <xf numFmtId="164" fontId="82" fillId="4" borderId="0" xfId="1" applyFont="1" applyFill="1"/>
    <xf numFmtId="164" fontId="82" fillId="2" borderId="0" xfId="0" applyNumberFormat="1" applyFont="1" applyFill="1" applyAlignment="1">
      <alignment horizontal="center"/>
    </xf>
    <xf numFmtId="164" fontId="69" fillId="4" borderId="0" xfId="1" applyFont="1" applyFill="1" applyAlignment="1"/>
    <xf numFmtId="0" fontId="83" fillId="2" borderId="0" xfId="0" applyFont="1" applyFill="1" applyAlignment="1">
      <alignment horizontal="right"/>
    </xf>
    <xf numFmtId="164" fontId="83" fillId="4" borderId="0" xfId="1" applyFont="1" applyFill="1"/>
    <xf numFmtId="0" fontId="69" fillId="2" borderId="3" xfId="0" applyFont="1" applyFill="1" applyBorder="1"/>
    <xf numFmtId="0" fontId="69" fillId="2" borderId="12" xfId="0" applyFont="1" applyFill="1" applyBorder="1"/>
    <xf numFmtId="0" fontId="69" fillId="2" borderId="4" xfId="0" applyFont="1" applyFill="1" applyBorder="1"/>
    <xf numFmtId="0" fontId="69" fillId="2" borderId="7" xfId="0" applyFont="1" applyFill="1" applyBorder="1"/>
    <xf numFmtId="0" fontId="69" fillId="2" borderId="6" xfId="0" applyFont="1" applyFill="1" applyBorder="1"/>
    <xf numFmtId="0" fontId="69" fillId="2" borderId="7" xfId="0" quotePrefix="1" applyFont="1" applyFill="1" applyBorder="1" applyAlignment="1">
      <alignment horizontal="right"/>
    </xf>
    <xf numFmtId="164" fontId="86" fillId="2" borderId="7" xfId="1" applyFont="1" applyFill="1" applyBorder="1"/>
    <xf numFmtId="164" fontId="69" fillId="2" borderId="10" xfId="1" applyFont="1" applyFill="1" applyBorder="1"/>
    <xf numFmtId="0" fontId="69" fillId="2" borderId="1" xfId="0" applyFont="1" applyFill="1" applyBorder="1"/>
    <xf numFmtId="0" fontId="69" fillId="2" borderId="1" xfId="0" applyFont="1" applyFill="1" applyBorder="1" applyAlignment="1">
      <alignment horizontal="right"/>
    </xf>
    <xf numFmtId="0" fontId="69" fillId="2" borderId="11" xfId="0" applyFont="1" applyFill="1" applyBorder="1"/>
    <xf numFmtId="0" fontId="83" fillId="2" borderId="3" xfId="0" applyFont="1" applyFill="1" applyBorder="1"/>
    <xf numFmtId="164" fontId="69" fillId="2" borderId="0" xfId="1" applyFont="1" applyFill="1" applyAlignment="1">
      <alignment horizontal="center"/>
    </xf>
    <xf numFmtId="43" fontId="69" fillId="2" borderId="0" xfId="0" applyNumberFormat="1" applyFont="1" applyFill="1"/>
    <xf numFmtId="164" fontId="82" fillId="2" borderId="0" xfId="1" applyFont="1" applyFill="1"/>
    <xf numFmtId="0" fontId="69" fillId="2" borderId="0" xfId="0" applyFont="1" applyFill="1" applyBorder="1" applyAlignment="1"/>
    <xf numFmtId="164" fontId="83" fillId="2" borderId="0" xfId="1" applyFont="1" applyFill="1"/>
    <xf numFmtId="0" fontId="64" fillId="3" borderId="0" xfId="0" applyFont="1" applyFill="1" applyBorder="1" applyAlignment="1">
      <alignment horizontal="center" vertical="center"/>
    </xf>
    <xf numFmtId="164" fontId="69" fillId="2" borderId="0" xfId="0" applyNumberFormat="1" applyFont="1" applyFill="1" applyBorder="1"/>
    <xf numFmtId="164" fontId="63" fillId="2" borderId="0" xfId="0" applyNumberFormat="1" applyFont="1" applyFill="1" applyAlignment="1">
      <alignment horizontal="center"/>
    </xf>
    <xf numFmtId="0" fontId="64" fillId="2" borderId="0" xfId="0" applyFont="1" applyFill="1" applyAlignment="1">
      <alignment horizontal="center"/>
    </xf>
    <xf numFmtId="0" fontId="85" fillId="2" borderId="0" xfId="0" applyFont="1" applyFill="1" applyAlignment="1">
      <alignment horizontal="center"/>
    </xf>
    <xf numFmtId="164" fontId="63" fillId="2" borderId="7" xfId="1" applyFont="1" applyFill="1" applyBorder="1"/>
    <xf numFmtId="164" fontId="63" fillId="2" borderId="0" xfId="1" applyFont="1" applyFill="1" applyBorder="1"/>
    <xf numFmtId="164" fontId="63" fillId="2" borderId="11" xfId="1" applyFont="1" applyFill="1" applyBorder="1"/>
    <xf numFmtId="164" fontId="64" fillId="2" borderId="9" xfId="1" applyFont="1" applyFill="1" applyBorder="1"/>
    <xf numFmtId="0" fontId="63" fillId="2" borderId="3" xfId="0" applyFont="1" applyFill="1" applyBorder="1" applyAlignment="1">
      <alignment horizontal="right"/>
    </xf>
    <xf numFmtId="164" fontId="63" fillId="2" borderId="4" xfId="1" applyFont="1" applyFill="1" applyBorder="1"/>
    <xf numFmtId="0" fontId="63" fillId="4" borderId="8" xfId="0" applyFont="1" applyFill="1" applyBorder="1" applyAlignment="1">
      <alignment horizontal="right"/>
    </xf>
    <xf numFmtId="0" fontId="63" fillId="2" borderId="0" xfId="0" applyFont="1" applyFill="1" applyAlignment="1">
      <alignment horizontal="left"/>
    </xf>
    <xf numFmtId="164" fontId="63" fillId="2" borderId="0" xfId="0" applyNumberFormat="1" applyFont="1" applyFill="1" applyAlignment="1">
      <alignment horizontal="left"/>
    </xf>
    <xf numFmtId="164" fontId="63" fillId="2" borderId="11" xfId="1" applyFont="1" applyFill="1" applyBorder="1" applyAlignment="1">
      <alignment horizontal="center"/>
    </xf>
    <xf numFmtId="164" fontId="63" fillId="2" borderId="0" xfId="1" applyFont="1" applyFill="1" applyBorder="1" applyAlignment="1">
      <alignment horizontal="center"/>
    </xf>
    <xf numFmtId="164" fontId="63" fillId="2" borderId="9" xfId="1" applyFont="1" applyFill="1" applyBorder="1" applyAlignment="1">
      <alignment horizontal="center"/>
    </xf>
    <xf numFmtId="164" fontId="64" fillId="2" borderId="0" xfId="1" applyFont="1" applyFill="1" applyBorder="1"/>
    <xf numFmtId="0" fontId="65" fillId="2" borderId="0" xfId="0" applyFont="1" applyFill="1" applyAlignment="1">
      <alignment horizontal="center"/>
    </xf>
    <xf numFmtId="164" fontId="69" fillId="2" borderId="7" xfId="5" applyNumberFormat="1" applyFont="1" applyFill="1" applyBorder="1"/>
    <xf numFmtId="164" fontId="69" fillId="2" borderId="0" xfId="5" applyNumberFormat="1" applyFont="1" applyFill="1"/>
    <xf numFmtId="164" fontId="69" fillId="2" borderId="7" xfId="0" applyNumberFormat="1" applyFont="1" applyFill="1" applyBorder="1"/>
    <xf numFmtId="164" fontId="69" fillId="2" borderId="11" xfId="5" applyNumberFormat="1" applyFont="1" applyFill="1" applyBorder="1"/>
    <xf numFmtId="0" fontId="83" fillId="2" borderId="0" xfId="5" applyFont="1" applyFill="1" applyBorder="1" applyAlignment="1">
      <alignment horizontal="right"/>
    </xf>
    <xf numFmtId="164" fontId="82" fillId="2" borderId="0" xfId="5" applyNumberFormat="1" applyFont="1" applyFill="1" applyAlignment="1">
      <alignment horizontal="right"/>
    </xf>
    <xf numFmtId="0" fontId="82" fillId="2" borderId="0" xfId="5" applyFont="1" applyFill="1" applyAlignment="1">
      <alignment horizontal="center"/>
    </xf>
    <xf numFmtId="0" fontId="83" fillId="2" borderId="0" xfId="5" applyFont="1" applyFill="1" applyAlignment="1"/>
    <xf numFmtId="0" fontId="83" fillId="2" borderId="0" xfId="5" applyFont="1" applyFill="1"/>
    <xf numFmtId="0" fontId="69" fillId="2" borderId="0" xfId="8" applyFont="1" applyFill="1" applyAlignment="1">
      <alignment horizontal="center"/>
    </xf>
    <xf numFmtId="164" fontId="69" fillId="2" borderId="0" xfId="8" applyNumberFormat="1" applyFont="1" applyFill="1"/>
    <xf numFmtId="0" fontId="82" fillId="2" borderId="0" xfId="8" applyFont="1" applyFill="1" applyAlignment="1">
      <alignment horizontal="right"/>
    </xf>
    <xf numFmtId="0" fontId="82" fillId="2" borderId="0" xfId="8" applyFont="1" applyFill="1"/>
    <xf numFmtId="0" fontId="82" fillId="2" borderId="0" xfId="8" applyFont="1" applyFill="1" applyAlignment="1">
      <alignment horizontal="center"/>
    </xf>
    <xf numFmtId="0" fontId="83" fillId="2" borderId="0" xfId="8" applyFont="1" applyFill="1"/>
    <xf numFmtId="0" fontId="28" fillId="2" borderId="0" xfId="10" applyFont="1" applyFill="1" applyBorder="1" applyAlignment="1">
      <alignment horizontal="center" vertical="center" wrapText="1"/>
    </xf>
    <xf numFmtId="0" fontId="21" fillId="2" borderId="0" xfId="10" applyFont="1" applyFill="1" applyBorder="1" applyAlignment="1">
      <alignment horizontal="left" vertical="center"/>
    </xf>
    <xf numFmtId="0" fontId="28" fillId="2" borderId="0" xfId="12" applyFont="1" applyFill="1" applyBorder="1" applyAlignment="1">
      <alignment horizontal="left"/>
    </xf>
    <xf numFmtId="0" fontId="28" fillId="4" borderId="0" xfId="0" applyFont="1" applyFill="1" applyBorder="1" applyAlignment="1">
      <alignment horizontal="left"/>
    </xf>
    <xf numFmtId="0" fontId="28" fillId="2" borderId="0" xfId="5" applyFont="1" applyFill="1" applyBorder="1" applyAlignment="1">
      <alignment horizontal="left"/>
    </xf>
    <xf numFmtId="0" fontId="28" fillId="2" borderId="0" xfId="14" applyFont="1" applyFill="1" applyBorder="1" applyAlignment="1">
      <alignment horizontal="left"/>
    </xf>
    <xf numFmtId="0" fontId="27" fillId="2" borderId="6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Alignment="1">
      <alignment horizontal="left"/>
    </xf>
    <xf numFmtId="0" fontId="52" fillId="2" borderId="0" xfId="0" applyFont="1" applyFill="1"/>
    <xf numFmtId="0" fontId="52" fillId="2" borderId="0" xfId="0" applyFont="1" applyFill="1" applyAlignment="1">
      <alignment horizontal="left"/>
    </xf>
    <xf numFmtId="0" fontId="88" fillId="2" borderId="0" xfId="0" applyFont="1" applyFill="1"/>
    <xf numFmtId="0" fontId="76" fillId="2" borderId="0" xfId="0" applyFont="1" applyFill="1"/>
    <xf numFmtId="0" fontId="16" fillId="2" borderId="0" xfId="0" applyFont="1" applyFill="1"/>
    <xf numFmtId="0" fontId="90" fillId="2" borderId="0" xfId="0" applyFont="1" applyFill="1" applyAlignment="1">
      <alignment horizontal="center"/>
    </xf>
    <xf numFmtId="0" fontId="93" fillId="2" borderId="0" xfId="0" applyFont="1" applyFill="1" applyAlignment="1">
      <alignment horizontal="center"/>
    </xf>
    <xf numFmtId="0" fontId="28" fillId="5" borderId="14" xfId="0" applyFont="1" applyFill="1" applyBorder="1" applyAlignment="1">
      <alignment horizontal="center"/>
    </xf>
    <xf numFmtId="0" fontId="28" fillId="5" borderId="5" xfId="0" applyFont="1" applyFill="1" applyBorder="1" applyAlignment="1">
      <alignment horizontal="center"/>
    </xf>
    <xf numFmtId="0" fontId="28" fillId="5" borderId="10" xfId="0" applyFont="1" applyFill="1" applyBorder="1"/>
    <xf numFmtId="0" fontId="28" fillId="5" borderId="1" xfId="0" applyFont="1" applyFill="1" applyBorder="1"/>
    <xf numFmtId="0" fontId="28" fillId="5" borderId="11" xfId="0" applyFont="1" applyFill="1" applyBorder="1"/>
    <xf numFmtId="0" fontId="28" fillId="5" borderId="13" xfId="0" applyFont="1" applyFill="1" applyBorder="1"/>
    <xf numFmtId="0" fontId="95" fillId="2" borderId="6" xfId="0" applyFont="1" applyFill="1" applyBorder="1"/>
    <xf numFmtId="164" fontId="28" fillId="2" borderId="7" xfId="16" applyFont="1" applyFill="1" applyBorder="1"/>
    <xf numFmtId="164" fontId="28" fillId="2" borderId="0" xfId="16" applyFont="1" applyFill="1" applyBorder="1"/>
    <xf numFmtId="164" fontId="28" fillId="2" borderId="6" xfId="16" applyFont="1" applyFill="1" applyBorder="1"/>
    <xf numFmtId="164" fontId="28" fillId="2" borderId="11" xfId="16" applyFont="1" applyFill="1" applyBorder="1"/>
    <xf numFmtId="0" fontId="28" fillId="2" borderId="3" xfId="0" applyFont="1" applyFill="1" applyBorder="1" applyAlignment="1">
      <alignment horizontal="left"/>
    </xf>
    <xf numFmtId="164" fontId="28" fillId="2" borderId="4" xfId="16" applyFont="1" applyFill="1" applyBorder="1"/>
    <xf numFmtId="164" fontId="28" fillId="2" borderId="12" xfId="16" applyFont="1" applyFill="1" applyBorder="1"/>
    <xf numFmtId="164" fontId="28" fillId="2" borderId="3" xfId="16" applyFont="1" applyFill="1" applyBorder="1"/>
    <xf numFmtId="0" fontId="95" fillId="2" borderId="0" xfId="0" applyFont="1" applyFill="1" applyBorder="1"/>
    <xf numFmtId="0" fontId="27" fillId="2" borderId="7" xfId="0" applyFont="1" applyFill="1" applyBorder="1"/>
    <xf numFmtId="0" fontId="27" fillId="2" borderId="5" xfId="0" applyFont="1" applyFill="1" applyBorder="1"/>
    <xf numFmtId="0" fontId="27" fillId="2" borderId="10" xfId="0" applyFont="1" applyFill="1" applyBorder="1" applyAlignment="1">
      <alignment horizontal="left"/>
    </xf>
    <xf numFmtId="164" fontId="27" fillId="2" borderId="11" xfId="16" applyFont="1" applyFill="1" applyBorder="1"/>
    <xf numFmtId="0" fontId="96" fillId="2" borderId="0" xfId="0" applyFont="1" applyFill="1"/>
    <xf numFmtId="0" fontId="97" fillId="2" borderId="0" xfId="0" applyFont="1" applyFill="1"/>
    <xf numFmtId="0" fontId="98" fillId="2" borderId="0" xfId="0" applyFont="1" applyFill="1" applyBorder="1"/>
    <xf numFmtId="0" fontId="99" fillId="2" borderId="0" xfId="0" applyFont="1" applyFill="1" applyBorder="1"/>
    <xf numFmtId="164" fontId="88" fillId="2" borderId="0" xfId="0" applyNumberFormat="1" applyFont="1" applyFill="1"/>
    <xf numFmtId="164" fontId="28" fillId="2" borderId="7" xfId="16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left"/>
    </xf>
    <xf numFmtId="164" fontId="28" fillId="2" borderId="9" xfId="16" applyFont="1" applyFill="1" applyBorder="1"/>
    <xf numFmtId="164" fontId="28" fillId="4" borderId="9" xfId="16" applyFont="1" applyFill="1" applyBorder="1"/>
    <xf numFmtId="164" fontId="96" fillId="2" borderId="0" xfId="0" applyNumberFormat="1" applyFont="1" applyFill="1"/>
    <xf numFmtId="164" fontId="28" fillId="4" borderId="7" xfId="16" applyFont="1" applyFill="1" applyBorder="1"/>
    <xf numFmtId="0" fontId="52" fillId="2" borderId="0" xfId="0" applyFont="1" applyFill="1" applyBorder="1"/>
    <xf numFmtId="0" fontId="28" fillId="4" borderId="0" xfId="0" applyFont="1" applyFill="1" applyBorder="1"/>
    <xf numFmtId="0" fontId="28" fillId="4" borderId="6" xfId="0" applyFont="1" applyFill="1" applyBorder="1" applyAlignment="1">
      <alignment horizontal="left"/>
    </xf>
    <xf numFmtId="164" fontId="28" fillId="4" borderId="6" xfId="16" applyFont="1" applyFill="1" applyBorder="1"/>
    <xf numFmtId="0" fontId="88" fillId="4" borderId="0" xfId="0" applyFont="1" applyFill="1"/>
    <xf numFmtId="0" fontId="52" fillId="4" borderId="0" xfId="0" applyFont="1" applyFill="1"/>
    <xf numFmtId="164" fontId="28" fillId="4" borderId="4" xfId="16" applyFont="1" applyFill="1" applyBorder="1"/>
    <xf numFmtId="164" fontId="28" fillId="2" borderId="12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164" fontId="28" fillId="4" borderId="4" xfId="0" applyNumberFormat="1" applyFont="1" applyFill="1" applyBorder="1" applyAlignment="1">
      <alignment horizontal="center"/>
    </xf>
    <xf numFmtId="9" fontId="88" fillId="2" borderId="0" xfId="17" applyFont="1" applyFill="1"/>
    <xf numFmtId="164" fontId="28" fillId="2" borderId="10" xfId="16" applyFont="1" applyFill="1" applyBorder="1"/>
    <xf numFmtId="0" fontId="28" fillId="2" borderId="1" xfId="0" applyFont="1" applyFill="1" applyBorder="1" applyAlignment="1">
      <alignment horizontal="left"/>
    </xf>
    <xf numFmtId="0" fontId="27" fillId="2" borderId="8" xfId="0" applyFont="1" applyFill="1" applyBorder="1" applyAlignment="1">
      <alignment horizontal="left"/>
    </xf>
    <xf numFmtId="164" fontId="27" fillId="2" borderId="9" xfId="16" applyFont="1" applyFill="1" applyBorder="1"/>
    <xf numFmtId="0" fontId="28" fillId="2" borderId="3" xfId="0" applyFont="1" applyFill="1" applyBorder="1"/>
    <xf numFmtId="0" fontId="27" fillId="2" borderId="3" xfId="0" applyFont="1" applyFill="1" applyBorder="1" applyAlignment="1">
      <alignment horizontal="left"/>
    </xf>
    <xf numFmtId="164" fontId="27" fillId="2" borderId="4" xfId="16" applyFont="1" applyFill="1" applyBorder="1"/>
    <xf numFmtId="164" fontId="27" fillId="4" borderId="4" xfId="16" applyFont="1" applyFill="1" applyBorder="1"/>
    <xf numFmtId="164" fontId="27" fillId="4" borderId="9" xfId="16" applyFont="1" applyFill="1" applyBorder="1"/>
    <xf numFmtId="43" fontId="88" fillId="2" borderId="0" xfId="0" applyNumberFormat="1" applyFont="1" applyFill="1"/>
    <xf numFmtId="0" fontId="97" fillId="2" borderId="6" xfId="0" applyFont="1" applyFill="1" applyBorder="1"/>
    <xf numFmtId="164" fontId="27" fillId="4" borderId="11" xfId="16" applyFont="1" applyFill="1" applyBorder="1"/>
    <xf numFmtId="43" fontId="96" fillId="2" borderId="0" xfId="0" applyNumberFormat="1" applyFont="1" applyFill="1"/>
    <xf numFmtId="164" fontId="27" fillId="4" borderId="7" xfId="16" applyFont="1" applyFill="1" applyBorder="1"/>
    <xf numFmtId="164" fontId="27" fillId="2" borderId="0" xfId="16" applyFont="1" applyFill="1" applyBorder="1"/>
    <xf numFmtId="164" fontId="27" fillId="2" borderId="6" xfId="16" applyFont="1" applyFill="1" applyBorder="1"/>
    <xf numFmtId="164" fontId="27" fillId="4" borderId="7" xfId="0" applyNumberFormat="1" applyFont="1" applyFill="1" applyBorder="1"/>
    <xf numFmtId="164" fontId="27" fillId="4" borderId="9" xfId="0" applyNumberFormat="1" applyFont="1" applyFill="1" applyBorder="1"/>
    <xf numFmtId="164" fontId="27" fillId="2" borderId="12" xfId="16" applyFont="1" applyFill="1" applyBorder="1"/>
    <xf numFmtId="164" fontId="27" fillId="2" borderId="3" xfId="16" applyFont="1" applyFill="1" applyBorder="1"/>
    <xf numFmtId="164" fontId="96" fillId="2" borderId="0" xfId="18" applyFont="1" applyFill="1"/>
    <xf numFmtId="0" fontId="52" fillId="7" borderId="0" xfId="0" applyFont="1" applyFill="1"/>
    <xf numFmtId="0" fontId="37" fillId="2" borderId="0" xfId="0" applyFont="1" applyFill="1" applyBorder="1"/>
    <xf numFmtId="0" fontId="28" fillId="2" borderId="0" xfId="0" quotePrefix="1" applyFont="1" applyFill="1" applyBorder="1"/>
    <xf numFmtId="0" fontId="27" fillId="2" borderId="0" xfId="0" applyFont="1" applyFill="1" applyBorder="1" applyAlignment="1">
      <alignment horizontal="left"/>
    </xf>
    <xf numFmtId="164" fontId="27" fillId="4" borderId="0" xfId="16" applyFont="1" applyFill="1" applyBorder="1"/>
    <xf numFmtId="0" fontId="95" fillId="2" borderId="3" xfId="0" applyFont="1" applyFill="1" applyBorder="1"/>
    <xf numFmtId="0" fontId="27" fillId="2" borderId="12" xfId="0" applyFont="1" applyFill="1" applyBorder="1"/>
    <xf numFmtId="0" fontId="28" fillId="2" borderId="14" xfId="0" applyFont="1" applyFill="1" applyBorder="1" applyAlignment="1">
      <alignment horizontal="center"/>
    </xf>
    <xf numFmtId="0" fontId="28" fillId="2" borderId="14" xfId="0" applyFont="1" applyFill="1" applyBorder="1"/>
    <xf numFmtId="14" fontId="28" fillId="2" borderId="5" xfId="0" applyNumberFormat="1" applyFont="1" applyFill="1" applyBorder="1" applyAlignment="1">
      <alignment horizontal="center"/>
    </xf>
    <xf numFmtId="0" fontId="27" fillId="2" borderId="2" xfId="0" applyFont="1" applyFill="1" applyBorder="1" applyAlignment="1">
      <alignment horizontal="left"/>
    </xf>
    <xf numFmtId="0" fontId="95" fillId="2" borderId="10" xfId="0" applyFont="1" applyFill="1" applyBorder="1"/>
    <xf numFmtId="0" fontId="99" fillId="2" borderId="0" xfId="0" applyFont="1" applyFill="1"/>
    <xf numFmtId="0" fontId="99" fillId="2" borderId="0" xfId="0" applyFont="1" applyFill="1" applyAlignment="1">
      <alignment horizontal="left"/>
    </xf>
    <xf numFmtId="0" fontId="100" fillId="2" borderId="0" xfId="0" applyFont="1" applyFill="1"/>
    <xf numFmtId="0" fontId="27" fillId="2" borderId="0" xfId="0" applyFont="1" applyFill="1" applyAlignment="1">
      <alignment horizontal="left"/>
    </xf>
    <xf numFmtId="0" fontId="50" fillId="2" borderId="0" xfId="0" applyFont="1" applyFill="1"/>
    <xf numFmtId="0" fontId="50" fillId="2" borderId="0" xfId="0" applyFont="1" applyFill="1" applyAlignment="1">
      <alignment horizontal="left"/>
    </xf>
    <xf numFmtId="0" fontId="101" fillId="2" borderId="0" xfId="0" applyFont="1" applyFill="1"/>
    <xf numFmtId="0" fontId="27" fillId="2" borderId="6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50" fillId="2" borderId="0" xfId="0" applyFont="1" applyFill="1" applyAlignment="1">
      <alignment horizontal="center"/>
    </xf>
    <xf numFmtId="0" fontId="95" fillId="2" borderId="6" xfId="0" applyFont="1" applyFill="1" applyBorder="1" applyAlignment="1">
      <alignment horizontal="center"/>
    </xf>
    <xf numFmtId="0" fontId="95" fillId="2" borderId="0" xfId="0" applyFont="1" applyFill="1" applyBorder="1" applyAlignment="1">
      <alignment horizontal="center"/>
    </xf>
    <xf numFmtId="0" fontId="95" fillId="2" borderId="7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8" fillId="5" borderId="10" xfId="0" applyFont="1" applyFill="1" applyBorder="1" applyAlignment="1">
      <alignment horizontal="center"/>
    </xf>
    <xf numFmtId="0" fontId="28" fillId="5" borderId="11" xfId="0" applyFont="1" applyFill="1" applyBorder="1" applyAlignment="1">
      <alignment horizontal="center"/>
    </xf>
    <xf numFmtId="0" fontId="27" fillId="5" borderId="10" xfId="0" applyFont="1" applyFill="1" applyBorder="1" applyAlignment="1">
      <alignment horizontal="center"/>
    </xf>
    <xf numFmtId="0" fontId="27" fillId="5" borderId="11" xfId="0" applyFont="1" applyFill="1" applyBorder="1" applyAlignment="1">
      <alignment horizontal="center"/>
    </xf>
    <xf numFmtId="0" fontId="89" fillId="2" borderId="0" xfId="0" applyFont="1" applyFill="1" applyAlignment="1">
      <alignment horizontal="center"/>
    </xf>
    <xf numFmtId="0" fontId="91" fillId="2" borderId="0" xfId="0" applyFont="1" applyFill="1" applyAlignment="1">
      <alignment horizontal="center"/>
    </xf>
    <xf numFmtId="0" fontId="92" fillId="2" borderId="0" xfId="0" applyFont="1" applyFill="1" applyAlignment="1">
      <alignment horizontal="center"/>
    </xf>
    <xf numFmtId="0" fontId="94" fillId="2" borderId="0" xfId="0" applyFont="1" applyFill="1" applyAlignment="1">
      <alignment horizontal="center"/>
    </xf>
    <xf numFmtId="0" fontId="95" fillId="5" borderId="3" xfId="0" applyFont="1" applyFill="1" applyBorder="1" applyAlignment="1">
      <alignment horizontal="center" vertical="center"/>
    </xf>
    <xf numFmtId="0" fontId="95" fillId="5" borderId="12" xfId="0" applyFont="1" applyFill="1" applyBorder="1" applyAlignment="1">
      <alignment horizontal="center" vertical="center"/>
    </xf>
    <xf numFmtId="0" fontId="95" fillId="5" borderId="4" xfId="0" applyFont="1" applyFill="1" applyBorder="1" applyAlignment="1">
      <alignment horizontal="center" vertical="center"/>
    </xf>
    <xf numFmtId="0" fontId="95" fillId="5" borderId="6" xfId="0" applyFont="1" applyFill="1" applyBorder="1" applyAlignment="1">
      <alignment horizontal="center" vertical="center"/>
    </xf>
    <xf numFmtId="0" fontId="95" fillId="5" borderId="0" xfId="0" applyFont="1" applyFill="1" applyBorder="1" applyAlignment="1">
      <alignment horizontal="center" vertical="center"/>
    </xf>
    <xf numFmtId="0" fontId="95" fillId="5" borderId="7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/>
    </xf>
    <xf numFmtId="0" fontId="27" fillId="6" borderId="8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/>
    </xf>
    <xf numFmtId="0" fontId="27" fillId="6" borderId="9" xfId="0" applyFont="1" applyFill="1" applyBorder="1" applyAlignment="1">
      <alignment horizontal="center"/>
    </xf>
    <xf numFmtId="0" fontId="27" fillId="5" borderId="6" xfId="0" applyFont="1" applyFill="1" applyBorder="1" applyAlignment="1">
      <alignment horizontal="center"/>
    </xf>
    <xf numFmtId="0" fontId="27" fillId="5" borderId="7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28" fillId="3" borderId="8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28" fillId="3" borderId="9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36" fillId="3" borderId="10" xfId="0" applyFont="1" applyFill="1" applyBorder="1" applyAlignment="1">
      <alignment horizontal="center"/>
    </xf>
    <xf numFmtId="0" fontId="36" fillId="3" borderId="11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164" fontId="21" fillId="4" borderId="0" xfId="1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8" fillId="3" borderId="15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/>
    </xf>
    <xf numFmtId="0" fontId="28" fillId="3" borderId="15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164" fontId="21" fillId="2" borderId="6" xfId="1" applyFont="1" applyFill="1" applyBorder="1" applyAlignment="1">
      <alignment horizontal="center"/>
    </xf>
    <xf numFmtId="164" fontId="21" fillId="2" borderId="0" xfId="1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left"/>
    </xf>
    <xf numFmtId="0" fontId="64" fillId="3" borderId="3" xfId="0" applyFont="1" applyFill="1" applyBorder="1" applyAlignment="1">
      <alignment horizontal="center" vertical="center"/>
    </xf>
    <xf numFmtId="0" fontId="64" fillId="3" borderId="4" xfId="0" applyFont="1" applyFill="1" applyBorder="1" applyAlignment="1">
      <alignment horizontal="center" vertical="center"/>
    </xf>
    <xf numFmtId="0" fontId="64" fillId="3" borderId="6" xfId="0" applyFont="1" applyFill="1" applyBorder="1" applyAlignment="1">
      <alignment horizontal="center" vertical="center"/>
    </xf>
    <xf numFmtId="0" fontId="64" fillId="3" borderId="7" xfId="0" applyFont="1" applyFill="1" applyBorder="1" applyAlignment="1">
      <alignment horizontal="center" vertical="center"/>
    </xf>
    <xf numFmtId="0" fontId="64" fillId="3" borderId="10" xfId="0" applyFont="1" applyFill="1" applyBorder="1" applyAlignment="1">
      <alignment horizontal="center" vertical="center"/>
    </xf>
    <xf numFmtId="0" fontId="64" fillId="3" borderId="11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41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164" fontId="28" fillId="2" borderId="6" xfId="1" applyFont="1" applyFill="1" applyBorder="1" applyAlignment="1">
      <alignment horizontal="center"/>
    </xf>
    <xf numFmtId="164" fontId="28" fillId="2" borderId="0" xfId="1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vertical="top"/>
    </xf>
    <xf numFmtId="0" fontId="27" fillId="2" borderId="7" xfId="0" applyFont="1" applyFill="1" applyBorder="1" applyAlignment="1">
      <alignment horizontal="center" vertical="top"/>
    </xf>
    <xf numFmtId="164" fontId="21" fillId="2" borderId="10" xfId="1" applyFont="1" applyFill="1" applyBorder="1" applyAlignment="1">
      <alignment horizontal="center"/>
    </xf>
    <xf numFmtId="164" fontId="21" fillId="2" borderId="1" xfId="1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left"/>
    </xf>
    <xf numFmtId="0" fontId="33" fillId="2" borderId="2" xfId="0" applyFont="1" applyFill="1" applyBorder="1" applyAlignment="1">
      <alignment horizontal="left"/>
    </xf>
    <xf numFmtId="0" fontId="33" fillId="2" borderId="9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164" fontId="33" fillId="2" borderId="8" xfId="1" applyFont="1" applyFill="1" applyBorder="1" applyAlignment="1">
      <alignment horizontal="center"/>
    </xf>
    <xf numFmtId="164" fontId="33" fillId="2" borderId="2" xfId="1" applyFont="1" applyFill="1" applyBorder="1" applyAlignment="1">
      <alignment horizontal="center"/>
    </xf>
    <xf numFmtId="164" fontId="33" fillId="2" borderId="9" xfId="1" applyFont="1" applyFill="1" applyBorder="1" applyAlignment="1">
      <alignment horizontal="center"/>
    </xf>
    <xf numFmtId="0" fontId="26" fillId="2" borderId="0" xfId="5" applyFont="1" applyFill="1" applyAlignment="1">
      <alignment horizontal="center"/>
    </xf>
    <xf numFmtId="0" fontId="41" fillId="2" borderId="0" xfId="5" applyFont="1" applyFill="1" applyAlignment="1">
      <alignment horizontal="center"/>
    </xf>
    <xf numFmtId="0" fontId="21" fillId="2" borderId="0" xfId="5" applyFont="1" applyFill="1" applyAlignment="1">
      <alignment horizontal="center"/>
    </xf>
    <xf numFmtId="0" fontId="26" fillId="2" borderId="6" xfId="5" applyFont="1" applyFill="1" applyBorder="1" applyAlignment="1">
      <alignment horizontal="center"/>
    </xf>
    <xf numFmtId="0" fontId="26" fillId="2" borderId="7" xfId="5" applyFont="1" applyFill="1" applyBorder="1" applyAlignment="1">
      <alignment horizontal="center"/>
    </xf>
    <xf numFmtId="0" fontId="26" fillId="2" borderId="10" xfId="5" applyFont="1" applyFill="1" applyBorder="1" applyAlignment="1">
      <alignment horizontal="center"/>
    </xf>
    <xf numFmtId="0" fontId="26" fillId="2" borderId="11" xfId="5" applyFont="1" applyFill="1" applyBorder="1" applyAlignment="1">
      <alignment horizontal="center"/>
    </xf>
    <xf numFmtId="0" fontId="26" fillId="3" borderId="6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2" borderId="0" xfId="0" applyFont="1" applyFill="1" applyAlignment="1">
      <alignment horizontal="left"/>
    </xf>
    <xf numFmtId="164" fontId="69" fillId="2" borderId="6" xfId="1" applyFont="1" applyFill="1" applyBorder="1" applyAlignment="1">
      <alignment horizontal="center"/>
    </xf>
    <xf numFmtId="164" fontId="69" fillId="2" borderId="0" xfId="1" applyFont="1" applyFill="1" applyBorder="1" applyAlignment="1">
      <alignment horizontal="center"/>
    </xf>
    <xf numFmtId="0" fontId="69" fillId="2" borderId="6" xfId="0" applyFont="1" applyFill="1" applyBorder="1" applyAlignment="1">
      <alignment horizontal="center"/>
    </xf>
    <xf numFmtId="0" fontId="69" fillId="4" borderId="0" xfId="0" applyFont="1" applyFill="1" applyBorder="1" applyAlignment="1">
      <alignment horizontal="center"/>
    </xf>
    <xf numFmtId="164" fontId="83" fillId="2" borderId="8" xfId="1" applyFont="1" applyFill="1" applyBorder="1" applyAlignment="1">
      <alignment horizontal="center"/>
    </xf>
    <xf numFmtId="164" fontId="83" fillId="2" borderId="2" xfId="1" applyFont="1" applyFill="1" applyBorder="1" applyAlignment="1">
      <alignment horizontal="center"/>
    </xf>
    <xf numFmtId="164" fontId="83" fillId="2" borderId="9" xfId="1" applyFont="1" applyFill="1" applyBorder="1" applyAlignment="1">
      <alignment horizontal="center"/>
    </xf>
    <xf numFmtId="164" fontId="69" fillId="2" borderId="10" xfId="1" applyFont="1" applyFill="1" applyBorder="1" applyAlignment="1">
      <alignment horizontal="center"/>
    </xf>
    <xf numFmtId="164" fontId="69" fillId="2" borderId="1" xfId="1" applyFont="1" applyFill="1" applyBorder="1" applyAlignment="1">
      <alignment horizontal="center"/>
    </xf>
    <xf numFmtId="0" fontId="21" fillId="2" borderId="6" xfId="0" applyFont="1" applyFill="1" applyBorder="1" applyAlignment="1">
      <alignment horizontal="left" vertical="top" wrapText="1"/>
    </xf>
    <xf numFmtId="0" fontId="21" fillId="2" borderId="7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horizontal="left" vertical="top" wrapText="1"/>
    </xf>
    <xf numFmtId="0" fontId="26" fillId="2" borderId="0" xfId="8" applyFont="1" applyFill="1" applyAlignment="1">
      <alignment horizontal="center"/>
    </xf>
    <xf numFmtId="0" fontId="21" fillId="2" borderId="0" xfId="8" applyFont="1" applyFill="1" applyAlignment="1">
      <alignment horizontal="center"/>
    </xf>
    <xf numFmtId="0" fontId="26" fillId="2" borderId="10" xfId="8" applyFont="1" applyFill="1" applyBorder="1" applyAlignment="1">
      <alignment horizontal="center"/>
    </xf>
    <xf numFmtId="0" fontId="26" fillId="2" borderId="11" xfId="8" applyFont="1" applyFill="1" applyBorder="1" applyAlignment="1">
      <alignment horizontal="center"/>
    </xf>
    <xf numFmtId="0" fontId="26" fillId="3" borderId="6" xfId="8" applyFont="1" applyFill="1" applyBorder="1" applyAlignment="1">
      <alignment horizontal="center"/>
    </xf>
    <xf numFmtId="0" fontId="26" fillId="3" borderId="7" xfId="8" applyFont="1" applyFill="1" applyBorder="1" applyAlignment="1">
      <alignment horizontal="center"/>
    </xf>
    <xf numFmtId="0" fontId="27" fillId="3" borderId="5" xfId="8" applyFont="1" applyFill="1" applyBorder="1" applyAlignment="1">
      <alignment horizontal="center"/>
    </xf>
    <xf numFmtId="0" fontId="28" fillId="3" borderId="3" xfId="8" applyFont="1" applyFill="1" applyBorder="1" applyAlignment="1">
      <alignment horizontal="center"/>
    </xf>
    <xf numFmtId="0" fontId="28" fillId="3" borderId="4" xfId="8" applyFont="1" applyFill="1" applyBorder="1" applyAlignment="1">
      <alignment horizontal="center"/>
    </xf>
    <xf numFmtId="0" fontId="26" fillId="2" borderId="6" xfId="8" applyFont="1" applyFill="1" applyBorder="1" applyAlignment="1">
      <alignment horizontal="center"/>
    </xf>
    <xf numFmtId="0" fontId="26" fillId="2" borderId="7" xfId="8" applyFont="1" applyFill="1" applyBorder="1" applyAlignment="1">
      <alignment horizontal="center"/>
    </xf>
    <xf numFmtId="0" fontId="28" fillId="3" borderId="3" xfId="8" applyFont="1" applyFill="1" applyBorder="1" applyAlignment="1">
      <alignment horizontal="center" vertical="center"/>
    </xf>
    <xf numFmtId="0" fontId="28" fillId="3" borderId="4" xfId="8" applyFont="1" applyFill="1" applyBorder="1" applyAlignment="1">
      <alignment horizontal="center" vertical="center"/>
    </xf>
    <xf numFmtId="0" fontId="28" fillId="3" borderId="10" xfId="8" applyFont="1" applyFill="1" applyBorder="1" applyAlignment="1">
      <alignment horizontal="center" vertical="center"/>
    </xf>
    <xf numFmtId="0" fontId="28" fillId="3" borderId="11" xfId="8" applyFont="1" applyFill="1" applyBorder="1" applyAlignment="1">
      <alignment horizontal="center" vertical="center"/>
    </xf>
    <xf numFmtId="0" fontId="36" fillId="3" borderId="13" xfId="8" applyFont="1" applyFill="1" applyBorder="1" applyAlignment="1">
      <alignment horizontal="center"/>
    </xf>
    <xf numFmtId="0" fontId="36" fillId="3" borderId="10" xfId="8" applyFont="1" applyFill="1" applyBorder="1" applyAlignment="1">
      <alignment horizontal="center"/>
    </xf>
    <xf numFmtId="0" fontId="36" fillId="3" borderId="11" xfId="8" applyFont="1" applyFill="1" applyBorder="1" applyAlignment="1">
      <alignment horizontal="center"/>
    </xf>
    <xf numFmtId="0" fontId="28" fillId="3" borderId="14" xfId="8" applyFont="1" applyFill="1" applyBorder="1" applyAlignment="1">
      <alignment horizontal="center"/>
    </xf>
    <xf numFmtId="0" fontId="28" fillId="3" borderId="8" xfId="8" applyFont="1" applyFill="1" applyBorder="1" applyAlignment="1">
      <alignment horizontal="center"/>
    </xf>
    <xf numFmtId="0" fontId="28" fillId="3" borderId="2" xfId="8" applyFont="1" applyFill="1" applyBorder="1" applyAlignment="1">
      <alignment horizontal="center"/>
    </xf>
    <xf numFmtId="0" fontId="28" fillId="3" borderId="9" xfId="8" applyFont="1" applyFill="1" applyBorder="1" applyAlignment="1">
      <alignment horizontal="center"/>
    </xf>
    <xf numFmtId="0" fontId="41" fillId="2" borderId="0" xfId="8" applyFont="1" applyFill="1" applyAlignment="1">
      <alignment horizontal="center"/>
    </xf>
    <xf numFmtId="0" fontId="27" fillId="2" borderId="6" xfId="8" applyFont="1" applyFill="1" applyBorder="1" applyAlignment="1">
      <alignment horizontal="center"/>
    </xf>
    <xf numFmtId="0" fontId="27" fillId="2" borderId="7" xfId="8" applyFont="1" applyFill="1" applyBorder="1" applyAlignment="1">
      <alignment horizontal="center"/>
    </xf>
    <xf numFmtId="0" fontId="27" fillId="2" borderId="10" xfId="8" applyFont="1" applyFill="1" applyBorder="1" applyAlignment="1">
      <alignment horizontal="center"/>
    </xf>
    <xf numFmtId="0" fontId="27" fillId="2" borderId="11" xfId="8" applyFont="1" applyFill="1" applyBorder="1" applyAlignment="1">
      <alignment horizontal="center"/>
    </xf>
    <xf numFmtId="0" fontId="27" fillId="3" borderId="6" xfId="8" applyFont="1" applyFill="1" applyBorder="1" applyAlignment="1">
      <alignment horizontal="center"/>
    </xf>
    <xf numFmtId="0" fontId="27" fillId="3" borderId="7" xfId="8" applyFont="1" applyFill="1" applyBorder="1" applyAlignment="1">
      <alignment horizontal="center"/>
    </xf>
    <xf numFmtId="0" fontId="20" fillId="2" borderId="0" xfId="8" applyFont="1" applyFill="1" applyAlignment="1">
      <alignment horizontal="center"/>
    </xf>
    <xf numFmtId="0" fontId="27" fillId="2" borderId="10" xfId="8" applyFont="1" applyFill="1" applyBorder="1" applyAlignment="1">
      <alignment horizontal="center" vertical="center"/>
    </xf>
    <xf numFmtId="0" fontId="27" fillId="2" borderId="11" xfId="8" applyFont="1" applyFill="1" applyBorder="1" applyAlignment="1">
      <alignment horizontal="center" vertical="center"/>
    </xf>
    <xf numFmtId="0" fontId="26" fillId="2" borderId="0" xfId="8" applyFont="1" applyFill="1" applyAlignment="1">
      <alignment horizontal="center" vertical="center"/>
    </xf>
    <xf numFmtId="0" fontId="48" fillId="2" borderId="0" xfId="10" applyFont="1" applyFill="1" applyAlignment="1">
      <alignment horizontal="center" vertical="center"/>
    </xf>
    <xf numFmtId="0" fontId="16" fillId="2" borderId="0" xfId="10" applyFont="1" applyFill="1" applyAlignment="1">
      <alignment horizontal="center" vertical="center"/>
    </xf>
    <xf numFmtId="0" fontId="27" fillId="3" borderId="14" xfId="10" applyFont="1" applyFill="1" applyBorder="1" applyAlignment="1">
      <alignment horizontal="center" vertical="center" wrapText="1"/>
    </xf>
    <xf numFmtId="0" fontId="27" fillId="3" borderId="5" xfId="10" applyFont="1" applyFill="1" applyBorder="1" applyAlignment="1">
      <alignment horizontal="center" vertical="center" wrapText="1"/>
    </xf>
    <xf numFmtId="0" fontId="27" fillId="3" borderId="13" xfId="10" applyFont="1" applyFill="1" applyBorder="1" applyAlignment="1">
      <alignment horizontal="center" vertical="center" wrapText="1"/>
    </xf>
    <xf numFmtId="0" fontId="21" fillId="3" borderId="14" xfId="8" applyFont="1" applyFill="1" applyBorder="1" applyAlignment="1">
      <alignment horizontal="center" vertical="center"/>
    </xf>
    <xf numFmtId="0" fontId="21" fillId="3" borderId="8" xfId="8" applyFont="1" applyFill="1" applyBorder="1" applyAlignment="1">
      <alignment horizontal="center" vertical="center"/>
    </xf>
    <xf numFmtId="0" fontId="21" fillId="3" borderId="2" xfId="8" applyFont="1" applyFill="1" applyBorder="1" applyAlignment="1">
      <alignment horizontal="center" vertical="center"/>
    </xf>
    <xf numFmtId="0" fontId="21" fillId="3" borderId="9" xfId="8" applyFont="1" applyFill="1" applyBorder="1" applyAlignment="1">
      <alignment horizontal="center" vertical="center"/>
    </xf>
    <xf numFmtId="0" fontId="26" fillId="3" borderId="5" xfId="8" applyFont="1" applyFill="1" applyBorder="1" applyAlignment="1">
      <alignment horizontal="center" vertical="center"/>
    </xf>
    <xf numFmtId="0" fontId="21" fillId="3" borderId="3" xfId="8" applyFont="1" applyFill="1" applyBorder="1" applyAlignment="1">
      <alignment horizontal="center" vertical="center"/>
    </xf>
    <xf numFmtId="0" fontId="21" fillId="3" borderId="4" xfId="8" applyFont="1" applyFill="1" applyBorder="1" applyAlignment="1">
      <alignment horizontal="center" vertical="center"/>
    </xf>
    <xf numFmtId="0" fontId="21" fillId="3" borderId="10" xfId="8" applyFont="1" applyFill="1" applyBorder="1" applyAlignment="1">
      <alignment horizontal="center" vertical="center"/>
    </xf>
    <xf numFmtId="0" fontId="21" fillId="3" borderId="11" xfId="8" applyFont="1" applyFill="1" applyBorder="1" applyAlignment="1">
      <alignment horizontal="center" vertical="center"/>
    </xf>
    <xf numFmtId="0" fontId="42" fillId="3" borderId="13" xfId="8" applyFont="1" applyFill="1" applyBorder="1" applyAlignment="1">
      <alignment horizontal="center" vertical="center"/>
    </xf>
    <xf numFmtId="0" fontId="42" fillId="3" borderId="10" xfId="8" applyFont="1" applyFill="1" applyBorder="1" applyAlignment="1">
      <alignment horizontal="center" vertical="center"/>
    </xf>
    <xf numFmtId="0" fontId="42" fillId="3" borderId="11" xfId="8" applyFont="1" applyFill="1" applyBorder="1" applyAlignment="1">
      <alignment horizontal="center" vertical="center"/>
    </xf>
    <xf numFmtId="0" fontId="50" fillId="2" borderId="0" xfId="10" applyFont="1" applyFill="1" applyAlignment="1">
      <alignment horizontal="left" vertical="center"/>
    </xf>
    <xf numFmtId="0" fontId="28" fillId="2" borderId="5" xfId="10" applyFont="1" applyFill="1" applyBorder="1" applyAlignment="1">
      <alignment horizontal="center" vertical="center" wrapText="1"/>
    </xf>
    <xf numFmtId="14" fontId="28" fillId="2" borderId="5" xfId="10" quotePrefix="1" applyNumberFormat="1" applyFont="1" applyFill="1" applyBorder="1" applyAlignment="1">
      <alignment horizontal="center" vertical="top" wrapText="1"/>
    </xf>
    <xf numFmtId="0" fontId="28" fillId="2" borderId="5" xfId="10" quotePrefix="1" applyFont="1" applyFill="1" applyBorder="1" applyAlignment="1">
      <alignment horizontal="center" vertical="center" wrapText="1"/>
    </xf>
    <xf numFmtId="0" fontId="28" fillId="2" borderId="13" xfId="10" quotePrefix="1" applyFont="1" applyFill="1" applyBorder="1" applyAlignment="1">
      <alignment horizontal="center" vertical="center" wrapText="1"/>
    </xf>
    <xf numFmtId="0" fontId="48" fillId="2" borderId="0" xfId="12" applyFont="1" applyFill="1" applyAlignment="1">
      <alignment horizontal="center"/>
    </xf>
    <xf numFmtId="0" fontId="16" fillId="2" borderId="0" xfId="12" applyFont="1" applyFill="1" applyAlignment="1">
      <alignment horizontal="center"/>
    </xf>
    <xf numFmtId="0" fontId="47" fillId="3" borderId="14" xfId="12" applyFont="1" applyFill="1" applyBorder="1" applyAlignment="1">
      <alignment horizontal="center" wrapText="1"/>
    </xf>
    <xf numFmtId="0" fontId="47" fillId="3" borderId="5" xfId="12" applyFont="1" applyFill="1" applyBorder="1" applyAlignment="1">
      <alignment horizontal="center" wrapText="1"/>
    </xf>
    <xf numFmtId="0" fontId="47" fillId="3" borderId="13" xfId="12" applyFont="1" applyFill="1" applyBorder="1" applyAlignment="1">
      <alignment horizontal="center" wrapText="1"/>
    </xf>
    <xf numFmtId="0" fontId="28" fillId="3" borderId="14" xfId="12" applyFont="1" applyFill="1" applyBorder="1" applyAlignment="1">
      <alignment horizontal="center"/>
    </xf>
    <xf numFmtId="0" fontId="28" fillId="3" borderId="8" xfId="12" applyFont="1" applyFill="1" applyBorder="1" applyAlignment="1">
      <alignment horizontal="center"/>
    </xf>
    <xf numFmtId="0" fontId="28" fillId="3" borderId="2" xfId="12" applyFont="1" applyFill="1" applyBorder="1" applyAlignment="1">
      <alignment horizontal="center"/>
    </xf>
    <xf numFmtId="0" fontId="28" fillId="3" borderId="9" xfId="12" applyFont="1" applyFill="1" applyBorder="1" applyAlignment="1">
      <alignment horizontal="center"/>
    </xf>
    <xf numFmtId="0" fontId="27" fillId="3" borderId="5" xfId="12" applyFont="1" applyFill="1" applyBorder="1" applyAlignment="1">
      <alignment horizontal="center"/>
    </xf>
    <xf numFmtId="0" fontId="28" fillId="3" borderId="3" xfId="12" applyFont="1" applyFill="1" applyBorder="1" applyAlignment="1">
      <alignment horizontal="center"/>
    </xf>
    <xf numFmtId="0" fontId="28" fillId="3" borderId="4" xfId="12" applyFont="1" applyFill="1" applyBorder="1" applyAlignment="1">
      <alignment horizontal="center"/>
    </xf>
    <xf numFmtId="0" fontId="28" fillId="3" borderId="3" xfId="12" applyFont="1" applyFill="1" applyBorder="1" applyAlignment="1">
      <alignment horizontal="center" vertical="center"/>
    </xf>
    <xf numFmtId="0" fontId="28" fillId="3" borderId="4" xfId="12" applyFont="1" applyFill="1" applyBorder="1" applyAlignment="1">
      <alignment horizontal="center" vertical="center"/>
    </xf>
    <xf numFmtId="0" fontId="28" fillId="3" borderId="10" xfId="12" applyFont="1" applyFill="1" applyBorder="1" applyAlignment="1">
      <alignment horizontal="center" vertical="center"/>
    </xf>
    <xf numFmtId="0" fontId="28" fillId="3" borderId="11" xfId="12" applyFont="1" applyFill="1" applyBorder="1" applyAlignment="1">
      <alignment horizontal="center" vertical="center"/>
    </xf>
    <xf numFmtId="0" fontId="36" fillId="3" borderId="13" xfId="12" applyFont="1" applyFill="1" applyBorder="1" applyAlignment="1">
      <alignment horizontal="center"/>
    </xf>
    <xf numFmtId="0" fontId="36" fillId="3" borderId="10" xfId="12" applyFont="1" applyFill="1" applyBorder="1" applyAlignment="1">
      <alignment horizontal="center"/>
    </xf>
    <xf numFmtId="0" fontId="36" fillId="3" borderId="11" xfId="12" applyFont="1" applyFill="1" applyBorder="1" applyAlignment="1">
      <alignment horizontal="center"/>
    </xf>
    <xf numFmtId="0" fontId="80" fillId="2" borderId="0" xfId="12" applyFont="1" applyFill="1" applyAlignment="1"/>
    <xf numFmtId="0" fontId="28" fillId="2" borderId="14" xfId="12" applyFont="1" applyFill="1" applyBorder="1" applyAlignment="1">
      <alignment horizontal="center" wrapText="1"/>
    </xf>
    <xf numFmtId="0" fontId="28" fillId="2" borderId="5" xfId="12" applyFont="1" applyFill="1" applyBorder="1" applyAlignment="1">
      <alignment horizontal="center" wrapText="1"/>
    </xf>
    <xf numFmtId="0" fontId="28" fillId="2" borderId="5" xfId="12" quotePrefix="1" applyFont="1" applyFill="1" applyBorder="1" applyAlignment="1">
      <alignment horizontal="center" wrapText="1"/>
    </xf>
    <xf numFmtId="0" fontId="46" fillId="2" borderId="0" xfId="12" applyFont="1" applyFill="1" applyAlignment="1">
      <alignment horizontal="center"/>
    </xf>
    <xf numFmtId="0" fontId="25" fillId="2" borderId="0" xfId="14" applyFont="1" applyFill="1" applyAlignment="1">
      <alignment horizontal="center"/>
    </xf>
    <xf numFmtId="0" fontId="8" fillId="2" borderId="0" xfId="14" applyFont="1" applyFill="1" applyAlignment="1">
      <alignment horizontal="center"/>
    </xf>
    <xf numFmtId="0" fontId="6" fillId="2" borderId="0" xfId="14" applyFont="1" applyFill="1" applyAlignment="1">
      <alignment horizontal="center"/>
    </xf>
    <xf numFmtId="0" fontId="6" fillId="3" borderId="14" xfId="14" applyFont="1" applyFill="1" applyBorder="1" applyAlignment="1">
      <alignment horizontal="center"/>
    </xf>
    <xf numFmtId="0" fontId="6" fillId="3" borderId="8" xfId="14" applyFont="1" applyFill="1" applyBorder="1" applyAlignment="1">
      <alignment horizontal="center"/>
    </xf>
    <xf numFmtId="0" fontId="6" fillId="3" borderId="2" xfId="14" applyFont="1" applyFill="1" applyBorder="1" applyAlignment="1">
      <alignment horizontal="center"/>
    </xf>
    <xf numFmtId="0" fontId="6" fillId="3" borderId="9" xfId="14" applyFont="1" applyFill="1" applyBorder="1" applyAlignment="1">
      <alignment horizontal="center"/>
    </xf>
    <xf numFmtId="0" fontId="17" fillId="2" borderId="5" xfId="14" applyFont="1" applyFill="1" applyBorder="1" applyAlignment="1">
      <alignment horizontal="center" vertical="top" wrapText="1"/>
    </xf>
    <xf numFmtId="0" fontId="7" fillId="3" borderId="14" xfId="14" applyFont="1" applyFill="1" applyBorder="1" applyAlignment="1">
      <alignment horizontal="center" wrapText="1"/>
    </xf>
    <xf numFmtId="0" fontId="7" fillId="3" borderId="5" xfId="14" applyFont="1" applyFill="1" applyBorder="1" applyAlignment="1">
      <alignment horizontal="center" wrapText="1"/>
    </xf>
    <xf numFmtId="0" fontId="7" fillId="3" borderId="13" xfId="14" applyFont="1" applyFill="1" applyBorder="1" applyAlignment="1">
      <alignment horizontal="center" wrapText="1"/>
    </xf>
    <xf numFmtId="0" fontId="7" fillId="3" borderId="5" xfId="14" applyFont="1" applyFill="1" applyBorder="1" applyAlignment="1">
      <alignment horizontal="center"/>
    </xf>
    <xf numFmtId="0" fontId="6" fillId="3" borderId="3" xfId="14" applyFont="1" applyFill="1" applyBorder="1" applyAlignment="1">
      <alignment horizontal="center"/>
    </xf>
    <xf numFmtId="0" fontId="6" fillId="3" borderId="4" xfId="14" applyFont="1" applyFill="1" applyBorder="1" applyAlignment="1">
      <alignment horizontal="center"/>
    </xf>
    <xf numFmtId="0" fontId="6" fillId="3" borderId="3" xfId="14" applyFont="1" applyFill="1" applyBorder="1" applyAlignment="1">
      <alignment horizontal="center" vertical="center"/>
    </xf>
    <xf numFmtId="0" fontId="6" fillId="3" borderId="4" xfId="14" applyFont="1" applyFill="1" applyBorder="1" applyAlignment="1">
      <alignment horizontal="center" vertical="center"/>
    </xf>
    <xf numFmtId="0" fontId="6" fillId="3" borderId="10" xfId="14" applyFont="1" applyFill="1" applyBorder="1" applyAlignment="1">
      <alignment horizontal="center" vertical="center"/>
    </xf>
    <xf numFmtId="0" fontId="6" fillId="3" borderId="11" xfId="14" applyFont="1" applyFill="1" applyBorder="1" applyAlignment="1">
      <alignment horizontal="center" vertical="center"/>
    </xf>
    <xf numFmtId="0" fontId="54" fillId="3" borderId="13" xfId="14" applyFont="1" applyFill="1" applyBorder="1" applyAlignment="1">
      <alignment horizontal="center"/>
    </xf>
    <xf numFmtId="0" fontId="54" fillId="3" borderId="10" xfId="14" applyFont="1" applyFill="1" applyBorder="1" applyAlignment="1">
      <alignment horizontal="center"/>
    </xf>
    <xf numFmtId="0" fontId="54" fillId="3" borderId="11" xfId="14" applyFont="1" applyFill="1" applyBorder="1" applyAlignment="1">
      <alignment horizontal="center"/>
    </xf>
  </cellXfs>
  <cellStyles count="19">
    <cellStyle name="Comma" xfId="1" builtinId="3"/>
    <cellStyle name="Comma 2" xfId="2"/>
    <cellStyle name="Comma 2 2" xfId="16"/>
    <cellStyle name="Comma 3" xfId="3"/>
    <cellStyle name="Comma 4" xfId="4"/>
    <cellStyle name="Comma 4 2" xfId="9"/>
    <cellStyle name="Comma 5" xfId="11"/>
    <cellStyle name="Comma 6" xfId="13"/>
    <cellStyle name="Comma 7" xfId="15"/>
    <cellStyle name="Comma 8" xfId="18"/>
    <cellStyle name="Normal" xfId="0" builtinId="0"/>
    <cellStyle name="Normal 2" xfId="5"/>
    <cellStyle name="Normal 2 2" xfId="6"/>
    <cellStyle name="Normal 3" xfId="7"/>
    <cellStyle name="Normal 4" xfId="8"/>
    <cellStyle name="Normal 5" xfId="10"/>
    <cellStyle name="Normal 6" xfId="12"/>
    <cellStyle name="Normal 7" xfId="14"/>
    <cellStyle name="Percent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6</xdr:row>
      <xdr:rowOff>0</xdr:rowOff>
    </xdr:from>
    <xdr:to>
      <xdr:col>4</xdr:col>
      <xdr:colOff>9525</xdr:colOff>
      <xdr:row>6</xdr:row>
      <xdr:rowOff>0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SpPr>
          <a:spLocks noChangeShapeType="1"/>
        </xdr:cNvSpPr>
      </xdr:nvSpPr>
      <xdr:spPr bwMode="auto">
        <a:xfrm>
          <a:off x="609600" y="87630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7</xdr:row>
      <xdr:rowOff>0</xdr:rowOff>
    </xdr:from>
    <xdr:to>
      <xdr:col>3</xdr:col>
      <xdr:colOff>152400</xdr:colOff>
      <xdr:row>7</xdr:row>
      <xdr:rowOff>0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00000000-0008-0000-1E00-000003000000}"/>
            </a:ext>
          </a:extLst>
        </xdr:cNvPr>
        <xdr:cNvSpPr>
          <a:spLocks noChangeShapeType="1"/>
        </xdr:cNvSpPr>
      </xdr:nvSpPr>
      <xdr:spPr bwMode="auto">
        <a:xfrm>
          <a:off x="609600" y="104775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4" name="Line 5"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SpPr>
          <a:spLocks noChangeShapeType="1"/>
        </xdr:cNvSpPr>
      </xdr:nvSpPr>
      <xdr:spPr bwMode="auto">
        <a:xfrm>
          <a:off x="609600" y="121920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8</xdr:row>
      <xdr:rowOff>152400</xdr:rowOff>
    </xdr:from>
    <xdr:to>
      <xdr:col>4</xdr:col>
      <xdr:colOff>0</xdr:colOff>
      <xdr:row>8</xdr:row>
      <xdr:rowOff>152400</xdr:rowOff>
    </xdr:to>
    <xdr:sp macro="" textlink="">
      <xdr:nvSpPr>
        <xdr:cNvPr id="5" name="Line 6">
          <a:extLst>
            <a:ext uri="{FF2B5EF4-FFF2-40B4-BE49-F238E27FC236}">
              <a16:creationId xmlns="" xmlns:a16="http://schemas.microsoft.com/office/drawing/2014/main" id="{00000000-0008-0000-1E00-000005000000}"/>
            </a:ext>
          </a:extLst>
        </xdr:cNvPr>
        <xdr:cNvSpPr>
          <a:spLocks noChangeShapeType="1"/>
        </xdr:cNvSpPr>
      </xdr:nvSpPr>
      <xdr:spPr bwMode="auto">
        <a:xfrm>
          <a:off x="609600" y="137160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6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SpPr>
          <a:spLocks noChangeShapeType="1"/>
        </xdr:cNvSpPr>
      </xdr:nvSpPr>
      <xdr:spPr bwMode="auto">
        <a:xfrm>
          <a:off x="752475" y="11144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00000000-0008-0000-1F00-000003000000}"/>
            </a:ext>
          </a:extLst>
        </xdr:cNvPr>
        <xdr:cNvSpPr>
          <a:spLocks noChangeShapeType="1"/>
        </xdr:cNvSpPr>
      </xdr:nvSpPr>
      <xdr:spPr bwMode="auto">
        <a:xfrm>
          <a:off x="752475" y="127635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4" name="Line 5">
          <a:extLst>
            <a:ext uri="{FF2B5EF4-FFF2-40B4-BE49-F238E27FC236}">
              <a16:creationId xmlns="" xmlns:a16="http://schemas.microsoft.com/office/drawing/2014/main" id="{00000000-0008-0000-1F00-000004000000}"/>
            </a:ext>
          </a:extLst>
        </xdr:cNvPr>
        <xdr:cNvSpPr>
          <a:spLocks noChangeShapeType="1"/>
        </xdr:cNvSpPr>
      </xdr:nvSpPr>
      <xdr:spPr bwMode="auto">
        <a:xfrm>
          <a:off x="742950" y="1438275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8</xdr:row>
      <xdr:rowOff>152400</xdr:rowOff>
    </xdr:from>
    <xdr:to>
      <xdr:col>4</xdr:col>
      <xdr:colOff>0</xdr:colOff>
      <xdr:row>8</xdr:row>
      <xdr:rowOff>152400</xdr:rowOff>
    </xdr:to>
    <xdr:sp macro="" textlink="">
      <xdr:nvSpPr>
        <xdr:cNvPr id="5" name="Line 6">
          <a:extLst>
            <a:ext uri="{FF2B5EF4-FFF2-40B4-BE49-F238E27FC236}">
              <a16:creationId xmlns="" xmlns:a16="http://schemas.microsoft.com/office/drawing/2014/main" id="{00000000-0008-0000-1F00-000005000000}"/>
            </a:ext>
          </a:extLst>
        </xdr:cNvPr>
        <xdr:cNvSpPr>
          <a:spLocks noChangeShapeType="1"/>
        </xdr:cNvSpPr>
      </xdr:nvSpPr>
      <xdr:spPr bwMode="auto">
        <a:xfrm>
          <a:off x="752475" y="1590675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6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6" name="Line 7">
          <a:extLst>
            <a:ext uri="{FF2B5EF4-FFF2-40B4-BE49-F238E27FC236}">
              <a16:creationId xmlns="" xmlns:a16="http://schemas.microsoft.com/office/drawing/2014/main" id="{00000000-0008-0000-1F00-000006000000}"/>
            </a:ext>
          </a:extLst>
        </xdr:cNvPr>
        <xdr:cNvSpPr>
          <a:spLocks noChangeShapeType="1"/>
        </xdr:cNvSpPr>
      </xdr:nvSpPr>
      <xdr:spPr bwMode="auto">
        <a:xfrm>
          <a:off x="752475" y="11144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7</xdr:row>
      <xdr:rowOff>0</xdr:rowOff>
    </xdr:from>
    <xdr:to>
      <xdr:col>3</xdr:col>
      <xdr:colOff>152400</xdr:colOff>
      <xdr:row>7</xdr:row>
      <xdr:rowOff>0</xdr:rowOff>
    </xdr:to>
    <xdr:sp macro="" textlink="">
      <xdr:nvSpPr>
        <xdr:cNvPr id="7" name="Line 8">
          <a:extLst>
            <a:ext uri="{FF2B5EF4-FFF2-40B4-BE49-F238E27FC236}">
              <a16:creationId xmlns="" xmlns:a16="http://schemas.microsoft.com/office/drawing/2014/main" id="{00000000-0008-0000-1F00-000007000000}"/>
            </a:ext>
          </a:extLst>
        </xdr:cNvPr>
        <xdr:cNvSpPr>
          <a:spLocks noChangeShapeType="1"/>
        </xdr:cNvSpPr>
      </xdr:nvSpPr>
      <xdr:spPr bwMode="auto">
        <a:xfrm>
          <a:off x="752475" y="127635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8" name="Line 9">
          <a:extLst>
            <a:ext uri="{FF2B5EF4-FFF2-40B4-BE49-F238E27FC236}">
              <a16:creationId xmlns="" xmlns:a16="http://schemas.microsoft.com/office/drawing/2014/main" id="{00000000-0008-0000-1F00-000008000000}"/>
            </a:ext>
          </a:extLst>
        </xdr:cNvPr>
        <xdr:cNvSpPr>
          <a:spLocks noChangeShapeType="1"/>
        </xdr:cNvSpPr>
      </xdr:nvSpPr>
      <xdr:spPr bwMode="auto">
        <a:xfrm>
          <a:off x="752475" y="1438275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8</xdr:row>
      <xdr:rowOff>152400</xdr:rowOff>
    </xdr:from>
    <xdr:to>
      <xdr:col>4</xdr:col>
      <xdr:colOff>0</xdr:colOff>
      <xdr:row>8</xdr:row>
      <xdr:rowOff>152400</xdr:rowOff>
    </xdr:to>
    <xdr:sp macro="" textlink="">
      <xdr:nvSpPr>
        <xdr:cNvPr id="9" name="Line 10">
          <a:extLst>
            <a:ext uri="{FF2B5EF4-FFF2-40B4-BE49-F238E27FC236}">
              <a16:creationId xmlns="" xmlns:a16="http://schemas.microsoft.com/office/drawing/2014/main" id="{00000000-0008-0000-1F00-000009000000}"/>
            </a:ext>
          </a:extLst>
        </xdr:cNvPr>
        <xdr:cNvSpPr>
          <a:spLocks noChangeShapeType="1"/>
        </xdr:cNvSpPr>
      </xdr:nvSpPr>
      <xdr:spPr bwMode="auto">
        <a:xfrm>
          <a:off x="752475" y="1590675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AO%202022\WS-on-Expenditures-FY-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BUDGETASSISTANTJOY\Desktop\2019%20file\Worksheet%20on%20Expenditures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BUDGETASSISTANTJOY\Desktop\2019%20file%20-%20Copy\AB%202020\Worksheet%20-%20GF%20%20(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-June"/>
      <sheetName val="Jan-Sep"/>
      <sheetName val="jan.-june"/>
      <sheetName val="jan.-dec.LEEO"/>
    </sheetNames>
    <sheetDataSet>
      <sheetData sheetId="0"/>
      <sheetData sheetId="1"/>
      <sheetData sheetId="2">
        <row r="7">
          <cell r="AN7">
            <v>35967074.43</v>
          </cell>
        </row>
        <row r="8">
          <cell r="AN8">
            <v>15332912.010000002</v>
          </cell>
        </row>
        <row r="9">
          <cell r="AN9">
            <v>4252922.07</v>
          </cell>
        </row>
        <row r="10">
          <cell r="AN10">
            <v>1215000</v>
          </cell>
        </row>
        <row r="11">
          <cell r="AN11">
            <v>1215000</v>
          </cell>
        </row>
        <row r="12">
          <cell r="AN12">
            <v>2136000</v>
          </cell>
        </row>
        <row r="13">
          <cell r="AN13">
            <v>348614.88</v>
          </cell>
        </row>
        <row r="14">
          <cell r="AN14">
            <v>35850</v>
          </cell>
        </row>
        <row r="15">
          <cell r="AN15">
            <v>1549589.39</v>
          </cell>
        </row>
        <row r="18">
          <cell r="AN18">
            <v>8507123.6400000006</v>
          </cell>
        </row>
        <row r="19">
          <cell r="AN19">
            <v>957000</v>
          </cell>
        </row>
        <row r="20">
          <cell r="AN20">
            <v>6059388.0700000003</v>
          </cell>
        </row>
        <row r="21">
          <cell r="AN21">
            <v>341527.19</v>
          </cell>
        </row>
        <row r="22">
          <cell r="AN22">
            <v>752845.48999999987</v>
          </cell>
        </row>
        <row r="23">
          <cell r="AN23">
            <v>216200</v>
          </cell>
        </row>
        <row r="26">
          <cell r="AN26">
            <v>7320224.96</v>
          </cell>
        </row>
        <row r="27">
          <cell r="AN27">
            <v>35632.239999999998</v>
          </cell>
        </row>
        <row r="30">
          <cell r="AN30">
            <v>110000</v>
          </cell>
        </row>
        <row r="33">
          <cell r="AN33">
            <v>3999952.99</v>
          </cell>
        </row>
        <row r="34">
          <cell r="AN34">
            <v>2080551.66</v>
          </cell>
        </row>
        <row r="35">
          <cell r="AN35">
            <v>562892.9</v>
          </cell>
        </row>
        <row r="36">
          <cell r="AN36">
            <v>348320</v>
          </cell>
        </row>
        <row r="37">
          <cell r="AN37">
            <v>661393</v>
          </cell>
        </row>
        <row r="38">
          <cell r="AN38">
            <v>4673856.9499999993</v>
          </cell>
        </row>
        <row r="39">
          <cell r="AN39">
            <v>1378</v>
          </cell>
        </row>
        <row r="40">
          <cell r="AN40">
            <v>0</v>
          </cell>
        </row>
        <row r="41">
          <cell r="AN41">
            <v>0</v>
          </cell>
        </row>
        <row r="42">
          <cell r="AN42">
            <v>648288.4</v>
          </cell>
        </row>
        <row r="43">
          <cell r="AN43">
            <v>6887681.6200000001</v>
          </cell>
        </row>
        <row r="44">
          <cell r="AN44">
            <v>1029780.8099999999</v>
          </cell>
        </row>
        <row r="45">
          <cell r="AN45">
            <v>3540</v>
          </cell>
        </row>
        <row r="46">
          <cell r="AN46">
            <v>375290.3</v>
          </cell>
        </row>
        <row r="47">
          <cell r="AN47">
            <v>451412.62</v>
          </cell>
        </row>
        <row r="48">
          <cell r="AN48">
            <v>2450</v>
          </cell>
        </row>
        <row r="49">
          <cell r="AN49">
            <v>101500</v>
          </cell>
        </row>
        <row r="50">
          <cell r="AN50">
            <v>26266</v>
          </cell>
        </row>
        <row r="51">
          <cell r="AN51">
            <v>183528</v>
          </cell>
        </row>
        <row r="52">
          <cell r="AN52">
            <v>130000</v>
          </cell>
        </row>
        <row r="53">
          <cell r="AN53">
            <v>12779</v>
          </cell>
        </row>
        <row r="54">
          <cell r="AN54">
            <v>2400</v>
          </cell>
        </row>
        <row r="55">
          <cell r="AN55">
            <v>59283.92</v>
          </cell>
        </row>
        <row r="56">
          <cell r="AN56">
            <v>131340</v>
          </cell>
        </row>
        <row r="57">
          <cell r="AN57">
            <v>264513.83999999997</v>
          </cell>
        </row>
        <row r="58">
          <cell r="AN58">
            <v>0</v>
          </cell>
        </row>
        <row r="59">
          <cell r="AN59">
            <v>715334.1100000001</v>
          </cell>
        </row>
        <row r="60">
          <cell r="AN60">
            <v>3952514.66</v>
          </cell>
        </row>
        <row r="61">
          <cell r="AN61">
            <v>0</v>
          </cell>
        </row>
        <row r="62">
          <cell r="AN62">
            <v>79000</v>
          </cell>
        </row>
        <row r="63">
          <cell r="AN63">
            <v>1800</v>
          </cell>
        </row>
        <row r="64">
          <cell r="AN64">
            <v>0</v>
          </cell>
        </row>
        <row r="65">
          <cell r="AN65">
            <v>238646.42000000004</v>
          </cell>
        </row>
        <row r="147">
          <cell r="AN147">
            <v>200000</v>
          </cell>
        </row>
        <row r="158">
          <cell r="AN158">
            <v>259799</v>
          </cell>
        </row>
        <row r="159">
          <cell r="AN159">
            <v>129900</v>
          </cell>
        </row>
        <row r="161">
          <cell r="AN161">
            <v>162000</v>
          </cell>
        </row>
        <row r="163">
          <cell r="AN163">
            <v>24900</v>
          </cell>
        </row>
        <row r="164">
          <cell r="AN164">
            <v>75000</v>
          </cell>
        </row>
        <row r="167">
          <cell r="AN167">
            <v>94900</v>
          </cell>
        </row>
        <row r="168">
          <cell r="AN168">
            <v>190015</v>
          </cell>
        </row>
        <row r="197">
          <cell r="AN197">
            <v>31517137.539999999</v>
          </cell>
        </row>
        <row r="198">
          <cell r="AN198">
            <v>7460182.8200000003</v>
          </cell>
        </row>
        <row r="199">
          <cell r="AN199">
            <v>6127376.9299999997</v>
          </cell>
        </row>
        <row r="200">
          <cell r="AN200">
            <v>4932268.3099999996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-June"/>
      <sheetName val="January to December (2-22-1 (2"/>
    </sheetNames>
    <sheetDataSet>
      <sheetData sheetId="0" refreshError="1">
        <row r="28">
          <cell r="AJ28">
            <v>0</v>
          </cell>
        </row>
        <row r="355">
          <cell r="AJ355">
            <v>0</v>
          </cell>
        </row>
        <row r="364">
          <cell r="AJ364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(7-8-19)wLEEO"/>
      <sheetName val="PS (8-21-19)wLEEO"/>
      <sheetName val="PS (10-4-19))wLEEO"/>
      <sheetName val="PS (10-8-19)wLEEO"/>
      <sheetName val="PS (11-6-19)wLEEO"/>
      <sheetName val="MOOE (7-8-19"/>
      <sheetName val="MOOE (7-16-19)"/>
      <sheetName val="MOOE (7-16-19)(2)"/>
      <sheetName val="MOOE (8-1-19)"/>
      <sheetName val="MOOE (8-17-19)"/>
      <sheetName val="MOOE (8-21-19)"/>
      <sheetName val="MOOE (8-21-19) (2)"/>
      <sheetName val="MOOE (8-21-19) (3)"/>
      <sheetName val="MOOE (10-6-19)"/>
      <sheetName val="MOOE (10-8-19)"/>
      <sheetName val="MOOE (11-6-19)"/>
      <sheetName val="CO (7-8-19)"/>
      <sheetName val="CO (8-1-19)"/>
      <sheetName val="CO (8-1-19) (2)"/>
      <sheetName val="CO (11-6-19)"/>
      <sheetName val="Financial Expenses (8-1-19)"/>
      <sheetName val="SPA"/>
      <sheetName val="SPA (10-9-19)w-LEEO"/>
      <sheetName val="SPA (11-6-19)"/>
      <sheetName val="Total-Office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0">
          <cell r="AM10">
            <v>100000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5"/>
  <sheetViews>
    <sheetView tabSelected="1" zoomScale="190" zoomScaleNormal="190" workbookViewId="0">
      <selection activeCell="M15" sqref="M15"/>
    </sheetView>
  </sheetViews>
  <sheetFormatPr defaultRowHeight="11.25"/>
  <cols>
    <col min="1" max="1" width="0.85546875" style="1159" customWidth="1"/>
    <col min="2" max="2" width="1.5703125" style="1159" customWidth="1"/>
    <col min="3" max="3" width="0.140625" style="1159" customWidth="1"/>
    <col min="4" max="4" width="1.7109375" style="1159" customWidth="1"/>
    <col min="5" max="5" width="9.140625" style="1159"/>
    <col min="6" max="6" width="18.7109375" style="1159" customWidth="1"/>
    <col min="7" max="7" width="7.28515625" style="1159" customWidth="1"/>
    <col min="8" max="8" width="7.42578125" style="1159" customWidth="1"/>
    <col min="9" max="9" width="1.28515625" style="1160" customWidth="1"/>
    <col min="10" max="10" width="10" style="1159" customWidth="1"/>
    <col min="11" max="11" width="1.28515625" style="1159" customWidth="1"/>
    <col min="12" max="12" width="10.85546875" style="1159" customWidth="1"/>
    <col min="13" max="13" width="1.7109375" style="1159" customWidth="1"/>
    <col min="14" max="14" width="10.7109375" style="1159" customWidth="1"/>
    <col min="15" max="15" width="1.85546875" style="1159" customWidth="1"/>
    <col min="16" max="16" width="10.28515625" style="1159" customWidth="1"/>
    <col min="17" max="17" width="1.85546875" style="1160" customWidth="1"/>
    <col min="18" max="18" width="10" style="1159" customWidth="1"/>
    <col min="19" max="20" width="20" style="1161" bestFit="1" customWidth="1"/>
    <col min="21" max="256" width="9.140625" style="1159"/>
    <col min="257" max="257" width="0.85546875" style="1159" customWidth="1"/>
    <col min="258" max="258" width="1.5703125" style="1159" customWidth="1"/>
    <col min="259" max="259" width="0.140625" style="1159" customWidth="1"/>
    <col min="260" max="260" width="1.7109375" style="1159" customWidth="1"/>
    <col min="261" max="261" width="9.140625" style="1159"/>
    <col min="262" max="262" width="18.7109375" style="1159" customWidth="1"/>
    <col min="263" max="263" width="7.28515625" style="1159" customWidth="1"/>
    <col min="264" max="264" width="7.42578125" style="1159" customWidth="1"/>
    <col min="265" max="265" width="1.28515625" style="1159" customWidth="1"/>
    <col min="266" max="266" width="10" style="1159" customWidth="1"/>
    <col min="267" max="267" width="1.28515625" style="1159" customWidth="1"/>
    <col min="268" max="268" width="10.85546875" style="1159" customWidth="1"/>
    <col min="269" max="269" width="1.7109375" style="1159" customWidth="1"/>
    <col min="270" max="270" width="10.7109375" style="1159" customWidth="1"/>
    <col min="271" max="271" width="1.85546875" style="1159" customWidth="1"/>
    <col min="272" max="272" width="10.28515625" style="1159" customWidth="1"/>
    <col min="273" max="273" width="1.85546875" style="1159" customWidth="1"/>
    <col min="274" max="274" width="10" style="1159" customWidth="1"/>
    <col min="275" max="276" width="20" style="1159" bestFit="1" customWidth="1"/>
    <col min="277" max="512" width="9.140625" style="1159"/>
    <col min="513" max="513" width="0.85546875" style="1159" customWidth="1"/>
    <col min="514" max="514" width="1.5703125" style="1159" customWidth="1"/>
    <col min="515" max="515" width="0.140625" style="1159" customWidth="1"/>
    <col min="516" max="516" width="1.7109375" style="1159" customWidth="1"/>
    <col min="517" max="517" width="9.140625" style="1159"/>
    <col min="518" max="518" width="18.7109375" style="1159" customWidth="1"/>
    <col min="519" max="519" width="7.28515625" style="1159" customWidth="1"/>
    <col min="520" max="520" width="7.42578125" style="1159" customWidth="1"/>
    <col min="521" max="521" width="1.28515625" style="1159" customWidth="1"/>
    <col min="522" max="522" width="10" style="1159" customWidth="1"/>
    <col min="523" max="523" width="1.28515625" style="1159" customWidth="1"/>
    <col min="524" max="524" width="10.85546875" style="1159" customWidth="1"/>
    <col min="525" max="525" width="1.7109375" style="1159" customWidth="1"/>
    <col min="526" max="526" width="10.7109375" style="1159" customWidth="1"/>
    <col min="527" max="527" width="1.85546875" style="1159" customWidth="1"/>
    <col min="528" max="528" width="10.28515625" style="1159" customWidth="1"/>
    <col min="529" max="529" width="1.85546875" style="1159" customWidth="1"/>
    <col min="530" max="530" width="10" style="1159" customWidth="1"/>
    <col min="531" max="532" width="20" style="1159" bestFit="1" customWidth="1"/>
    <col min="533" max="768" width="9.140625" style="1159"/>
    <col min="769" max="769" width="0.85546875" style="1159" customWidth="1"/>
    <col min="770" max="770" width="1.5703125" style="1159" customWidth="1"/>
    <col min="771" max="771" width="0.140625" style="1159" customWidth="1"/>
    <col min="772" max="772" width="1.7109375" style="1159" customWidth="1"/>
    <col min="773" max="773" width="9.140625" style="1159"/>
    <col min="774" max="774" width="18.7109375" style="1159" customWidth="1"/>
    <col min="775" max="775" width="7.28515625" style="1159" customWidth="1"/>
    <col min="776" max="776" width="7.42578125" style="1159" customWidth="1"/>
    <col min="777" max="777" width="1.28515625" style="1159" customWidth="1"/>
    <col min="778" max="778" width="10" style="1159" customWidth="1"/>
    <col min="779" max="779" width="1.28515625" style="1159" customWidth="1"/>
    <col min="780" max="780" width="10.85546875" style="1159" customWidth="1"/>
    <col min="781" max="781" width="1.7109375" style="1159" customWidth="1"/>
    <col min="782" max="782" width="10.7109375" style="1159" customWidth="1"/>
    <col min="783" max="783" width="1.85546875" style="1159" customWidth="1"/>
    <col min="784" max="784" width="10.28515625" style="1159" customWidth="1"/>
    <col min="785" max="785" width="1.85546875" style="1159" customWidth="1"/>
    <col min="786" max="786" width="10" style="1159" customWidth="1"/>
    <col min="787" max="788" width="20" style="1159" bestFit="1" customWidth="1"/>
    <col min="789" max="1024" width="9.140625" style="1159"/>
    <col min="1025" max="1025" width="0.85546875" style="1159" customWidth="1"/>
    <col min="1026" max="1026" width="1.5703125" style="1159" customWidth="1"/>
    <col min="1027" max="1027" width="0.140625" style="1159" customWidth="1"/>
    <col min="1028" max="1028" width="1.7109375" style="1159" customWidth="1"/>
    <col min="1029" max="1029" width="9.140625" style="1159"/>
    <col min="1030" max="1030" width="18.7109375" style="1159" customWidth="1"/>
    <col min="1031" max="1031" width="7.28515625" style="1159" customWidth="1"/>
    <col min="1032" max="1032" width="7.42578125" style="1159" customWidth="1"/>
    <col min="1033" max="1033" width="1.28515625" style="1159" customWidth="1"/>
    <col min="1034" max="1034" width="10" style="1159" customWidth="1"/>
    <col min="1035" max="1035" width="1.28515625" style="1159" customWidth="1"/>
    <col min="1036" max="1036" width="10.85546875" style="1159" customWidth="1"/>
    <col min="1037" max="1037" width="1.7109375" style="1159" customWidth="1"/>
    <col min="1038" max="1038" width="10.7109375" style="1159" customWidth="1"/>
    <col min="1039" max="1039" width="1.85546875" style="1159" customWidth="1"/>
    <col min="1040" max="1040" width="10.28515625" style="1159" customWidth="1"/>
    <col min="1041" max="1041" width="1.85546875" style="1159" customWidth="1"/>
    <col min="1042" max="1042" width="10" style="1159" customWidth="1"/>
    <col min="1043" max="1044" width="20" style="1159" bestFit="1" customWidth="1"/>
    <col min="1045" max="1280" width="9.140625" style="1159"/>
    <col min="1281" max="1281" width="0.85546875" style="1159" customWidth="1"/>
    <col min="1282" max="1282" width="1.5703125" style="1159" customWidth="1"/>
    <col min="1283" max="1283" width="0.140625" style="1159" customWidth="1"/>
    <col min="1284" max="1284" width="1.7109375" style="1159" customWidth="1"/>
    <col min="1285" max="1285" width="9.140625" style="1159"/>
    <col min="1286" max="1286" width="18.7109375" style="1159" customWidth="1"/>
    <col min="1287" max="1287" width="7.28515625" style="1159" customWidth="1"/>
    <col min="1288" max="1288" width="7.42578125" style="1159" customWidth="1"/>
    <col min="1289" max="1289" width="1.28515625" style="1159" customWidth="1"/>
    <col min="1290" max="1290" width="10" style="1159" customWidth="1"/>
    <col min="1291" max="1291" width="1.28515625" style="1159" customWidth="1"/>
    <col min="1292" max="1292" width="10.85546875" style="1159" customWidth="1"/>
    <col min="1293" max="1293" width="1.7109375" style="1159" customWidth="1"/>
    <col min="1294" max="1294" width="10.7109375" style="1159" customWidth="1"/>
    <col min="1295" max="1295" width="1.85546875" style="1159" customWidth="1"/>
    <col min="1296" max="1296" width="10.28515625" style="1159" customWidth="1"/>
    <col min="1297" max="1297" width="1.85546875" style="1159" customWidth="1"/>
    <col min="1298" max="1298" width="10" style="1159" customWidth="1"/>
    <col min="1299" max="1300" width="20" style="1159" bestFit="1" customWidth="1"/>
    <col min="1301" max="1536" width="9.140625" style="1159"/>
    <col min="1537" max="1537" width="0.85546875" style="1159" customWidth="1"/>
    <col min="1538" max="1538" width="1.5703125" style="1159" customWidth="1"/>
    <col min="1539" max="1539" width="0.140625" style="1159" customWidth="1"/>
    <col min="1540" max="1540" width="1.7109375" style="1159" customWidth="1"/>
    <col min="1541" max="1541" width="9.140625" style="1159"/>
    <col min="1542" max="1542" width="18.7109375" style="1159" customWidth="1"/>
    <col min="1543" max="1543" width="7.28515625" style="1159" customWidth="1"/>
    <col min="1544" max="1544" width="7.42578125" style="1159" customWidth="1"/>
    <col min="1545" max="1545" width="1.28515625" style="1159" customWidth="1"/>
    <col min="1546" max="1546" width="10" style="1159" customWidth="1"/>
    <col min="1547" max="1547" width="1.28515625" style="1159" customWidth="1"/>
    <col min="1548" max="1548" width="10.85546875" style="1159" customWidth="1"/>
    <col min="1549" max="1549" width="1.7109375" style="1159" customWidth="1"/>
    <col min="1550" max="1550" width="10.7109375" style="1159" customWidth="1"/>
    <col min="1551" max="1551" width="1.85546875" style="1159" customWidth="1"/>
    <col min="1552" max="1552" width="10.28515625" style="1159" customWidth="1"/>
    <col min="1553" max="1553" width="1.85546875" style="1159" customWidth="1"/>
    <col min="1554" max="1554" width="10" style="1159" customWidth="1"/>
    <col min="1555" max="1556" width="20" style="1159" bestFit="1" customWidth="1"/>
    <col min="1557" max="1792" width="9.140625" style="1159"/>
    <col min="1793" max="1793" width="0.85546875" style="1159" customWidth="1"/>
    <col min="1794" max="1794" width="1.5703125" style="1159" customWidth="1"/>
    <col min="1795" max="1795" width="0.140625" style="1159" customWidth="1"/>
    <col min="1796" max="1796" width="1.7109375" style="1159" customWidth="1"/>
    <col min="1797" max="1797" width="9.140625" style="1159"/>
    <col min="1798" max="1798" width="18.7109375" style="1159" customWidth="1"/>
    <col min="1799" max="1799" width="7.28515625" style="1159" customWidth="1"/>
    <col min="1800" max="1800" width="7.42578125" style="1159" customWidth="1"/>
    <col min="1801" max="1801" width="1.28515625" style="1159" customWidth="1"/>
    <col min="1802" max="1802" width="10" style="1159" customWidth="1"/>
    <col min="1803" max="1803" width="1.28515625" style="1159" customWidth="1"/>
    <col min="1804" max="1804" width="10.85546875" style="1159" customWidth="1"/>
    <col min="1805" max="1805" width="1.7109375" style="1159" customWidth="1"/>
    <col min="1806" max="1806" width="10.7109375" style="1159" customWidth="1"/>
    <col min="1807" max="1807" width="1.85546875" style="1159" customWidth="1"/>
    <col min="1808" max="1808" width="10.28515625" style="1159" customWidth="1"/>
    <col min="1809" max="1809" width="1.85546875" style="1159" customWidth="1"/>
    <col min="1810" max="1810" width="10" style="1159" customWidth="1"/>
    <col min="1811" max="1812" width="20" style="1159" bestFit="1" customWidth="1"/>
    <col min="1813" max="2048" width="9.140625" style="1159"/>
    <col min="2049" max="2049" width="0.85546875" style="1159" customWidth="1"/>
    <col min="2050" max="2050" width="1.5703125" style="1159" customWidth="1"/>
    <col min="2051" max="2051" width="0.140625" style="1159" customWidth="1"/>
    <col min="2052" max="2052" width="1.7109375" style="1159" customWidth="1"/>
    <col min="2053" max="2053" width="9.140625" style="1159"/>
    <col min="2054" max="2054" width="18.7109375" style="1159" customWidth="1"/>
    <col min="2055" max="2055" width="7.28515625" style="1159" customWidth="1"/>
    <col min="2056" max="2056" width="7.42578125" style="1159" customWidth="1"/>
    <col min="2057" max="2057" width="1.28515625" style="1159" customWidth="1"/>
    <col min="2058" max="2058" width="10" style="1159" customWidth="1"/>
    <col min="2059" max="2059" width="1.28515625" style="1159" customWidth="1"/>
    <col min="2060" max="2060" width="10.85546875" style="1159" customWidth="1"/>
    <col min="2061" max="2061" width="1.7109375" style="1159" customWidth="1"/>
    <col min="2062" max="2062" width="10.7109375" style="1159" customWidth="1"/>
    <col min="2063" max="2063" width="1.85546875" style="1159" customWidth="1"/>
    <col min="2064" max="2064" width="10.28515625" style="1159" customWidth="1"/>
    <col min="2065" max="2065" width="1.85546875" style="1159" customWidth="1"/>
    <col min="2066" max="2066" width="10" style="1159" customWidth="1"/>
    <col min="2067" max="2068" width="20" style="1159" bestFit="1" customWidth="1"/>
    <col min="2069" max="2304" width="9.140625" style="1159"/>
    <col min="2305" max="2305" width="0.85546875" style="1159" customWidth="1"/>
    <col min="2306" max="2306" width="1.5703125" style="1159" customWidth="1"/>
    <col min="2307" max="2307" width="0.140625" style="1159" customWidth="1"/>
    <col min="2308" max="2308" width="1.7109375" style="1159" customWidth="1"/>
    <col min="2309" max="2309" width="9.140625" style="1159"/>
    <col min="2310" max="2310" width="18.7109375" style="1159" customWidth="1"/>
    <col min="2311" max="2311" width="7.28515625" style="1159" customWidth="1"/>
    <col min="2312" max="2312" width="7.42578125" style="1159" customWidth="1"/>
    <col min="2313" max="2313" width="1.28515625" style="1159" customWidth="1"/>
    <col min="2314" max="2314" width="10" style="1159" customWidth="1"/>
    <col min="2315" max="2315" width="1.28515625" style="1159" customWidth="1"/>
    <col min="2316" max="2316" width="10.85546875" style="1159" customWidth="1"/>
    <col min="2317" max="2317" width="1.7109375" style="1159" customWidth="1"/>
    <col min="2318" max="2318" width="10.7109375" style="1159" customWidth="1"/>
    <col min="2319" max="2319" width="1.85546875" style="1159" customWidth="1"/>
    <col min="2320" max="2320" width="10.28515625" style="1159" customWidth="1"/>
    <col min="2321" max="2321" width="1.85546875" style="1159" customWidth="1"/>
    <col min="2322" max="2322" width="10" style="1159" customWidth="1"/>
    <col min="2323" max="2324" width="20" style="1159" bestFit="1" customWidth="1"/>
    <col min="2325" max="2560" width="9.140625" style="1159"/>
    <col min="2561" max="2561" width="0.85546875" style="1159" customWidth="1"/>
    <col min="2562" max="2562" width="1.5703125" style="1159" customWidth="1"/>
    <col min="2563" max="2563" width="0.140625" style="1159" customWidth="1"/>
    <col min="2564" max="2564" width="1.7109375" style="1159" customWidth="1"/>
    <col min="2565" max="2565" width="9.140625" style="1159"/>
    <col min="2566" max="2566" width="18.7109375" style="1159" customWidth="1"/>
    <col min="2567" max="2567" width="7.28515625" style="1159" customWidth="1"/>
    <col min="2568" max="2568" width="7.42578125" style="1159" customWidth="1"/>
    <col min="2569" max="2569" width="1.28515625" style="1159" customWidth="1"/>
    <col min="2570" max="2570" width="10" style="1159" customWidth="1"/>
    <col min="2571" max="2571" width="1.28515625" style="1159" customWidth="1"/>
    <col min="2572" max="2572" width="10.85546875" style="1159" customWidth="1"/>
    <col min="2573" max="2573" width="1.7109375" style="1159" customWidth="1"/>
    <col min="2574" max="2574" width="10.7109375" style="1159" customWidth="1"/>
    <col min="2575" max="2575" width="1.85546875" style="1159" customWidth="1"/>
    <col min="2576" max="2576" width="10.28515625" style="1159" customWidth="1"/>
    <col min="2577" max="2577" width="1.85546875" style="1159" customWidth="1"/>
    <col min="2578" max="2578" width="10" style="1159" customWidth="1"/>
    <col min="2579" max="2580" width="20" style="1159" bestFit="1" customWidth="1"/>
    <col min="2581" max="2816" width="9.140625" style="1159"/>
    <col min="2817" max="2817" width="0.85546875" style="1159" customWidth="1"/>
    <col min="2818" max="2818" width="1.5703125" style="1159" customWidth="1"/>
    <col min="2819" max="2819" width="0.140625" style="1159" customWidth="1"/>
    <col min="2820" max="2820" width="1.7109375" style="1159" customWidth="1"/>
    <col min="2821" max="2821" width="9.140625" style="1159"/>
    <col min="2822" max="2822" width="18.7109375" style="1159" customWidth="1"/>
    <col min="2823" max="2823" width="7.28515625" style="1159" customWidth="1"/>
    <col min="2824" max="2824" width="7.42578125" style="1159" customWidth="1"/>
    <col min="2825" max="2825" width="1.28515625" style="1159" customWidth="1"/>
    <col min="2826" max="2826" width="10" style="1159" customWidth="1"/>
    <col min="2827" max="2827" width="1.28515625" style="1159" customWidth="1"/>
    <col min="2828" max="2828" width="10.85546875" style="1159" customWidth="1"/>
    <col min="2829" max="2829" width="1.7109375" style="1159" customWidth="1"/>
    <col min="2830" max="2830" width="10.7109375" style="1159" customWidth="1"/>
    <col min="2831" max="2831" width="1.85546875" style="1159" customWidth="1"/>
    <col min="2832" max="2832" width="10.28515625" style="1159" customWidth="1"/>
    <col min="2833" max="2833" width="1.85546875" style="1159" customWidth="1"/>
    <col min="2834" max="2834" width="10" style="1159" customWidth="1"/>
    <col min="2835" max="2836" width="20" style="1159" bestFit="1" customWidth="1"/>
    <col min="2837" max="3072" width="9.140625" style="1159"/>
    <col min="3073" max="3073" width="0.85546875" style="1159" customWidth="1"/>
    <col min="3074" max="3074" width="1.5703125" style="1159" customWidth="1"/>
    <col min="3075" max="3075" width="0.140625" style="1159" customWidth="1"/>
    <col min="3076" max="3076" width="1.7109375" style="1159" customWidth="1"/>
    <col min="3077" max="3077" width="9.140625" style="1159"/>
    <col min="3078" max="3078" width="18.7109375" style="1159" customWidth="1"/>
    <col min="3079" max="3079" width="7.28515625" style="1159" customWidth="1"/>
    <col min="3080" max="3080" width="7.42578125" style="1159" customWidth="1"/>
    <col min="3081" max="3081" width="1.28515625" style="1159" customWidth="1"/>
    <col min="3082" max="3082" width="10" style="1159" customWidth="1"/>
    <col min="3083" max="3083" width="1.28515625" style="1159" customWidth="1"/>
    <col min="3084" max="3084" width="10.85546875" style="1159" customWidth="1"/>
    <col min="3085" max="3085" width="1.7109375" style="1159" customWidth="1"/>
    <col min="3086" max="3086" width="10.7109375" style="1159" customWidth="1"/>
    <col min="3087" max="3087" width="1.85546875" style="1159" customWidth="1"/>
    <col min="3088" max="3088" width="10.28515625" style="1159" customWidth="1"/>
    <col min="3089" max="3089" width="1.85546875" style="1159" customWidth="1"/>
    <col min="3090" max="3090" width="10" style="1159" customWidth="1"/>
    <col min="3091" max="3092" width="20" style="1159" bestFit="1" customWidth="1"/>
    <col min="3093" max="3328" width="9.140625" style="1159"/>
    <col min="3329" max="3329" width="0.85546875" style="1159" customWidth="1"/>
    <col min="3330" max="3330" width="1.5703125" style="1159" customWidth="1"/>
    <col min="3331" max="3331" width="0.140625" style="1159" customWidth="1"/>
    <col min="3332" max="3332" width="1.7109375" style="1159" customWidth="1"/>
    <col min="3333" max="3333" width="9.140625" style="1159"/>
    <col min="3334" max="3334" width="18.7109375" style="1159" customWidth="1"/>
    <col min="3335" max="3335" width="7.28515625" style="1159" customWidth="1"/>
    <col min="3336" max="3336" width="7.42578125" style="1159" customWidth="1"/>
    <col min="3337" max="3337" width="1.28515625" style="1159" customWidth="1"/>
    <col min="3338" max="3338" width="10" style="1159" customWidth="1"/>
    <col min="3339" max="3339" width="1.28515625" style="1159" customWidth="1"/>
    <col min="3340" max="3340" width="10.85546875" style="1159" customWidth="1"/>
    <col min="3341" max="3341" width="1.7109375" style="1159" customWidth="1"/>
    <col min="3342" max="3342" width="10.7109375" style="1159" customWidth="1"/>
    <col min="3343" max="3343" width="1.85546875" style="1159" customWidth="1"/>
    <col min="3344" max="3344" width="10.28515625" style="1159" customWidth="1"/>
    <col min="3345" max="3345" width="1.85546875" style="1159" customWidth="1"/>
    <col min="3346" max="3346" width="10" style="1159" customWidth="1"/>
    <col min="3347" max="3348" width="20" style="1159" bestFit="1" customWidth="1"/>
    <col min="3349" max="3584" width="9.140625" style="1159"/>
    <col min="3585" max="3585" width="0.85546875" style="1159" customWidth="1"/>
    <col min="3586" max="3586" width="1.5703125" style="1159" customWidth="1"/>
    <col min="3587" max="3587" width="0.140625" style="1159" customWidth="1"/>
    <col min="3588" max="3588" width="1.7109375" style="1159" customWidth="1"/>
    <col min="3589" max="3589" width="9.140625" style="1159"/>
    <col min="3590" max="3590" width="18.7109375" style="1159" customWidth="1"/>
    <col min="3591" max="3591" width="7.28515625" style="1159" customWidth="1"/>
    <col min="3592" max="3592" width="7.42578125" style="1159" customWidth="1"/>
    <col min="3593" max="3593" width="1.28515625" style="1159" customWidth="1"/>
    <col min="3594" max="3594" width="10" style="1159" customWidth="1"/>
    <col min="3595" max="3595" width="1.28515625" style="1159" customWidth="1"/>
    <col min="3596" max="3596" width="10.85546875" style="1159" customWidth="1"/>
    <col min="3597" max="3597" width="1.7109375" style="1159" customWidth="1"/>
    <col min="3598" max="3598" width="10.7109375" style="1159" customWidth="1"/>
    <col min="3599" max="3599" width="1.85546875" style="1159" customWidth="1"/>
    <col min="3600" max="3600" width="10.28515625" style="1159" customWidth="1"/>
    <col min="3601" max="3601" width="1.85546875" style="1159" customWidth="1"/>
    <col min="3602" max="3602" width="10" style="1159" customWidth="1"/>
    <col min="3603" max="3604" width="20" style="1159" bestFit="1" customWidth="1"/>
    <col min="3605" max="3840" width="9.140625" style="1159"/>
    <col min="3841" max="3841" width="0.85546875" style="1159" customWidth="1"/>
    <col min="3842" max="3842" width="1.5703125" style="1159" customWidth="1"/>
    <col min="3843" max="3843" width="0.140625" style="1159" customWidth="1"/>
    <col min="3844" max="3844" width="1.7109375" style="1159" customWidth="1"/>
    <col min="3845" max="3845" width="9.140625" style="1159"/>
    <col min="3846" max="3846" width="18.7109375" style="1159" customWidth="1"/>
    <col min="3847" max="3847" width="7.28515625" style="1159" customWidth="1"/>
    <col min="3848" max="3848" width="7.42578125" style="1159" customWidth="1"/>
    <col min="3849" max="3849" width="1.28515625" style="1159" customWidth="1"/>
    <col min="3850" max="3850" width="10" style="1159" customWidth="1"/>
    <col min="3851" max="3851" width="1.28515625" style="1159" customWidth="1"/>
    <col min="3852" max="3852" width="10.85546875" style="1159" customWidth="1"/>
    <col min="3853" max="3853" width="1.7109375" style="1159" customWidth="1"/>
    <col min="3854" max="3854" width="10.7109375" style="1159" customWidth="1"/>
    <col min="3855" max="3855" width="1.85546875" style="1159" customWidth="1"/>
    <col min="3856" max="3856" width="10.28515625" style="1159" customWidth="1"/>
    <col min="3857" max="3857" width="1.85546875" style="1159" customWidth="1"/>
    <col min="3858" max="3858" width="10" style="1159" customWidth="1"/>
    <col min="3859" max="3860" width="20" style="1159" bestFit="1" customWidth="1"/>
    <col min="3861" max="4096" width="9.140625" style="1159"/>
    <col min="4097" max="4097" width="0.85546875" style="1159" customWidth="1"/>
    <col min="4098" max="4098" width="1.5703125" style="1159" customWidth="1"/>
    <col min="4099" max="4099" width="0.140625" style="1159" customWidth="1"/>
    <col min="4100" max="4100" width="1.7109375" style="1159" customWidth="1"/>
    <col min="4101" max="4101" width="9.140625" style="1159"/>
    <col min="4102" max="4102" width="18.7109375" style="1159" customWidth="1"/>
    <col min="4103" max="4103" width="7.28515625" style="1159" customWidth="1"/>
    <col min="4104" max="4104" width="7.42578125" style="1159" customWidth="1"/>
    <col min="4105" max="4105" width="1.28515625" style="1159" customWidth="1"/>
    <col min="4106" max="4106" width="10" style="1159" customWidth="1"/>
    <col min="4107" max="4107" width="1.28515625" style="1159" customWidth="1"/>
    <col min="4108" max="4108" width="10.85546875" style="1159" customWidth="1"/>
    <col min="4109" max="4109" width="1.7109375" style="1159" customWidth="1"/>
    <col min="4110" max="4110" width="10.7109375" style="1159" customWidth="1"/>
    <col min="4111" max="4111" width="1.85546875" style="1159" customWidth="1"/>
    <col min="4112" max="4112" width="10.28515625" style="1159" customWidth="1"/>
    <col min="4113" max="4113" width="1.85546875" style="1159" customWidth="1"/>
    <col min="4114" max="4114" width="10" style="1159" customWidth="1"/>
    <col min="4115" max="4116" width="20" style="1159" bestFit="1" customWidth="1"/>
    <col min="4117" max="4352" width="9.140625" style="1159"/>
    <col min="4353" max="4353" width="0.85546875" style="1159" customWidth="1"/>
    <col min="4354" max="4354" width="1.5703125" style="1159" customWidth="1"/>
    <col min="4355" max="4355" width="0.140625" style="1159" customWidth="1"/>
    <col min="4356" max="4356" width="1.7109375" style="1159" customWidth="1"/>
    <col min="4357" max="4357" width="9.140625" style="1159"/>
    <col min="4358" max="4358" width="18.7109375" style="1159" customWidth="1"/>
    <col min="4359" max="4359" width="7.28515625" style="1159" customWidth="1"/>
    <col min="4360" max="4360" width="7.42578125" style="1159" customWidth="1"/>
    <col min="4361" max="4361" width="1.28515625" style="1159" customWidth="1"/>
    <col min="4362" max="4362" width="10" style="1159" customWidth="1"/>
    <col min="4363" max="4363" width="1.28515625" style="1159" customWidth="1"/>
    <col min="4364" max="4364" width="10.85546875" style="1159" customWidth="1"/>
    <col min="4365" max="4365" width="1.7109375" style="1159" customWidth="1"/>
    <col min="4366" max="4366" width="10.7109375" style="1159" customWidth="1"/>
    <col min="4367" max="4367" width="1.85546875" style="1159" customWidth="1"/>
    <col min="4368" max="4368" width="10.28515625" style="1159" customWidth="1"/>
    <col min="4369" max="4369" width="1.85546875" style="1159" customWidth="1"/>
    <col min="4370" max="4370" width="10" style="1159" customWidth="1"/>
    <col min="4371" max="4372" width="20" style="1159" bestFit="1" customWidth="1"/>
    <col min="4373" max="4608" width="9.140625" style="1159"/>
    <col min="4609" max="4609" width="0.85546875" style="1159" customWidth="1"/>
    <col min="4610" max="4610" width="1.5703125" style="1159" customWidth="1"/>
    <col min="4611" max="4611" width="0.140625" style="1159" customWidth="1"/>
    <col min="4612" max="4612" width="1.7109375" style="1159" customWidth="1"/>
    <col min="4613" max="4613" width="9.140625" style="1159"/>
    <col min="4614" max="4614" width="18.7109375" style="1159" customWidth="1"/>
    <col min="4615" max="4615" width="7.28515625" style="1159" customWidth="1"/>
    <col min="4616" max="4616" width="7.42578125" style="1159" customWidth="1"/>
    <col min="4617" max="4617" width="1.28515625" style="1159" customWidth="1"/>
    <col min="4618" max="4618" width="10" style="1159" customWidth="1"/>
    <col min="4619" max="4619" width="1.28515625" style="1159" customWidth="1"/>
    <col min="4620" max="4620" width="10.85546875" style="1159" customWidth="1"/>
    <col min="4621" max="4621" width="1.7109375" style="1159" customWidth="1"/>
    <col min="4622" max="4622" width="10.7109375" style="1159" customWidth="1"/>
    <col min="4623" max="4623" width="1.85546875" style="1159" customWidth="1"/>
    <col min="4624" max="4624" width="10.28515625" style="1159" customWidth="1"/>
    <col min="4625" max="4625" width="1.85546875" style="1159" customWidth="1"/>
    <col min="4626" max="4626" width="10" style="1159" customWidth="1"/>
    <col min="4627" max="4628" width="20" style="1159" bestFit="1" customWidth="1"/>
    <col min="4629" max="4864" width="9.140625" style="1159"/>
    <col min="4865" max="4865" width="0.85546875" style="1159" customWidth="1"/>
    <col min="4866" max="4866" width="1.5703125" style="1159" customWidth="1"/>
    <col min="4867" max="4867" width="0.140625" style="1159" customWidth="1"/>
    <col min="4868" max="4868" width="1.7109375" style="1159" customWidth="1"/>
    <col min="4869" max="4869" width="9.140625" style="1159"/>
    <col min="4870" max="4870" width="18.7109375" style="1159" customWidth="1"/>
    <col min="4871" max="4871" width="7.28515625" style="1159" customWidth="1"/>
    <col min="4872" max="4872" width="7.42578125" style="1159" customWidth="1"/>
    <col min="4873" max="4873" width="1.28515625" style="1159" customWidth="1"/>
    <col min="4874" max="4874" width="10" style="1159" customWidth="1"/>
    <col min="4875" max="4875" width="1.28515625" style="1159" customWidth="1"/>
    <col min="4876" max="4876" width="10.85546875" style="1159" customWidth="1"/>
    <col min="4877" max="4877" width="1.7109375" style="1159" customWidth="1"/>
    <col min="4878" max="4878" width="10.7109375" style="1159" customWidth="1"/>
    <col min="4879" max="4879" width="1.85546875" style="1159" customWidth="1"/>
    <col min="4880" max="4880" width="10.28515625" style="1159" customWidth="1"/>
    <col min="4881" max="4881" width="1.85546875" style="1159" customWidth="1"/>
    <col min="4882" max="4882" width="10" style="1159" customWidth="1"/>
    <col min="4883" max="4884" width="20" style="1159" bestFit="1" customWidth="1"/>
    <col min="4885" max="5120" width="9.140625" style="1159"/>
    <col min="5121" max="5121" width="0.85546875" style="1159" customWidth="1"/>
    <col min="5122" max="5122" width="1.5703125" style="1159" customWidth="1"/>
    <col min="5123" max="5123" width="0.140625" style="1159" customWidth="1"/>
    <col min="5124" max="5124" width="1.7109375" style="1159" customWidth="1"/>
    <col min="5125" max="5125" width="9.140625" style="1159"/>
    <col min="5126" max="5126" width="18.7109375" style="1159" customWidth="1"/>
    <col min="5127" max="5127" width="7.28515625" style="1159" customWidth="1"/>
    <col min="5128" max="5128" width="7.42578125" style="1159" customWidth="1"/>
    <col min="5129" max="5129" width="1.28515625" style="1159" customWidth="1"/>
    <col min="5130" max="5130" width="10" style="1159" customWidth="1"/>
    <col min="5131" max="5131" width="1.28515625" style="1159" customWidth="1"/>
    <col min="5132" max="5132" width="10.85546875" style="1159" customWidth="1"/>
    <col min="5133" max="5133" width="1.7109375" style="1159" customWidth="1"/>
    <col min="5134" max="5134" width="10.7109375" style="1159" customWidth="1"/>
    <col min="5135" max="5135" width="1.85546875" style="1159" customWidth="1"/>
    <col min="5136" max="5136" width="10.28515625" style="1159" customWidth="1"/>
    <col min="5137" max="5137" width="1.85546875" style="1159" customWidth="1"/>
    <col min="5138" max="5138" width="10" style="1159" customWidth="1"/>
    <col min="5139" max="5140" width="20" style="1159" bestFit="1" customWidth="1"/>
    <col min="5141" max="5376" width="9.140625" style="1159"/>
    <col min="5377" max="5377" width="0.85546875" style="1159" customWidth="1"/>
    <col min="5378" max="5378" width="1.5703125" style="1159" customWidth="1"/>
    <col min="5379" max="5379" width="0.140625" style="1159" customWidth="1"/>
    <col min="5380" max="5380" width="1.7109375" style="1159" customWidth="1"/>
    <col min="5381" max="5381" width="9.140625" style="1159"/>
    <col min="5382" max="5382" width="18.7109375" style="1159" customWidth="1"/>
    <col min="5383" max="5383" width="7.28515625" style="1159" customWidth="1"/>
    <col min="5384" max="5384" width="7.42578125" style="1159" customWidth="1"/>
    <col min="5385" max="5385" width="1.28515625" style="1159" customWidth="1"/>
    <col min="5386" max="5386" width="10" style="1159" customWidth="1"/>
    <col min="5387" max="5387" width="1.28515625" style="1159" customWidth="1"/>
    <col min="5388" max="5388" width="10.85546875" style="1159" customWidth="1"/>
    <col min="5389" max="5389" width="1.7109375" style="1159" customWidth="1"/>
    <col min="5390" max="5390" width="10.7109375" style="1159" customWidth="1"/>
    <col min="5391" max="5391" width="1.85546875" style="1159" customWidth="1"/>
    <col min="5392" max="5392" width="10.28515625" style="1159" customWidth="1"/>
    <col min="5393" max="5393" width="1.85546875" style="1159" customWidth="1"/>
    <col min="5394" max="5394" width="10" style="1159" customWidth="1"/>
    <col min="5395" max="5396" width="20" style="1159" bestFit="1" customWidth="1"/>
    <col min="5397" max="5632" width="9.140625" style="1159"/>
    <col min="5633" max="5633" width="0.85546875" style="1159" customWidth="1"/>
    <col min="5634" max="5634" width="1.5703125" style="1159" customWidth="1"/>
    <col min="5635" max="5635" width="0.140625" style="1159" customWidth="1"/>
    <col min="5636" max="5636" width="1.7109375" style="1159" customWidth="1"/>
    <col min="5637" max="5637" width="9.140625" style="1159"/>
    <col min="5638" max="5638" width="18.7109375" style="1159" customWidth="1"/>
    <col min="5639" max="5639" width="7.28515625" style="1159" customWidth="1"/>
    <col min="5640" max="5640" width="7.42578125" style="1159" customWidth="1"/>
    <col min="5641" max="5641" width="1.28515625" style="1159" customWidth="1"/>
    <col min="5642" max="5642" width="10" style="1159" customWidth="1"/>
    <col min="5643" max="5643" width="1.28515625" style="1159" customWidth="1"/>
    <col min="5644" max="5644" width="10.85546875" style="1159" customWidth="1"/>
    <col min="5645" max="5645" width="1.7109375" style="1159" customWidth="1"/>
    <col min="5646" max="5646" width="10.7109375" style="1159" customWidth="1"/>
    <col min="5647" max="5647" width="1.85546875" style="1159" customWidth="1"/>
    <col min="5648" max="5648" width="10.28515625" style="1159" customWidth="1"/>
    <col min="5649" max="5649" width="1.85546875" style="1159" customWidth="1"/>
    <col min="5650" max="5650" width="10" style="1159" customWidth="1"/>
    <col min="5651" max="5652" width="20" style="1159" bestFit="1" customWidth="1"/>
    <col min="5653" max="5888" width="9.140625" style="1159"/>
    <col min="5889" max="5889" width="0.85546875" style="1159" customWidth="1"/>
    <col min="5890" max="5890" width="1.5703125" style="1159" customWidth="1"/>
    <col min="5891" max="5891" width="0.140625" style="1159" customWidth="1"/>
    <col min="5892" max="5892" width="1.7109375" style="1159" customWidth="1"/>
    <col min="5893" max="5893" width="9.140625" style="1159"/>
    <col min="5894" max="5894" width="18.7109375" style="1159" customWidth="1"/>
    <col min="5895" max="5895" width="7.28515625" style="1159" customWidth="1"/>
    <col min="5896" max="5896" width="7.42578125" style="1159" customWidth="1"/>
    <col min="5897" max="5897" width="1.28515625" style="1159" customWidth="1"/>
    <col min="5898" max="5898" width="10" style="1159" customWidth="1"/>
    <col min="5899" max="5899" width="1.28515625" style="1159" customWidth="1"/>
    <col min="5900" max="5900" width="10.85546875" style="1159" customWidth="1"/>
    <col min="5901" max="5901" width="1.7109375" style="1159" customWidth="1"/>
    <col min="5902" max="5902" width="10.7109375" style="1159" customWidth="1"/>
    <col min="5903" max="5903" width="1.85546875" style="1159" customWidth="1"/>
    <col min="5904" max="5904" width="10.28515625" style="1159" customWidth="1"/>
    <col min="5905" max="5905" width="1.85546875" style="1159" customWidth="1"/>
    <col min="5906" max="5906" width="10" style="1159" customWidth="1"/>
    <col min="5907" max="5908" width="20" style="1159" bestFit="1" customWidth="1"/>
    <col min="5909" max="6144" width="9.140625" style="1159"/>
    <col min="6145" max="6145" width="0.85546875" style="1159" customWidth="1"/>
    <col min="6146" max="6146" width="1.5703125" style="1159" customWidth="1"/>
    <col min="6147" max="6147" width="0.140625" style="1159" customWidth="1"/>
    <col min="6148" max="6148" width="1.7109375" style="1159" customWidth="1"/>
    <col min="6149" max="6149" width="9.140625" style="1159"/>
    <col min="6150" max="6150" width="18.7109375" style="1159" customWidth="1"/>
    <col min="6151" max="6151" width="7.28515625" style="1159" customWidth="1"/>
    <col min="6152" max="6152" width="7.42578125" style="1159" customWidth="1"/>
    <col min="6153" max="6153" width="1.28515625" style="1159" customWidth="1"/>
    <col min="6154" max="6154" width="10" style="1159" customWidth="1"/>
    <col min="6155" max="6155" width="1.28515625" style="1159" customWidth="1"/>
    <col min="6156" max="6156" width="10.85546875" style="1159" customWidth="1"/>
    <col min="6157" max="6157" width="1.7109375" style="1159" customWidth="1"/>
    <col min="6158" max="6158" width="10.7109375" style="1159" customWidth="1"/>
    <col min="6159" max="6159" width="1.85546875" style="1159" customWidth="1"/>
    <col min="6160" max="6160" width="10.28515625" style="1159" customWidth="1"/>
    <col min="6161" max="6161" width="1.85546875" style="1159" customWidth="1"/>
    <col min="6162" max="6162" width="10" style="1159" customWidth="1"/>
    <col min="6163" max="6164" width="20" style="1159" bestFit="1" customWidth="1"/>
    <col min="6165" max="6400" width="9.140625" style="1159"/>
    <col min="6401" max="6401" width="0.85546875" style="1159" customWidth="1"/>
    <col min="6402" max="6402" width="1.5703125" style="1159" customWidth="1"/>
    <col min="6403" max="6403" width="0.140625" style="1159" customWidth="1"/>
    <col min="6404" max="6404" width="1.7109375" style="1159" customWidth="1"/>
    <col min="6405" max="6405" width="9.140625" style="1159"/>
    <col min="6406" max="6406" width="18.7109375" style="1159" customWidth="1"/>
    <col min="6407" max="6407" width="7.28515625" style="1159" customWidth="1"/>
    <col min="6408" max="6408" width="7.42578125" style="1159" customWidth="1"/>
    <col min="6409" max="6409" width="1.28515625" style="1159" customWidth="1"/>
    <col min="6410" max="6410" width="10" style="1159" customWidth="1"/>
    <col min="6411" max="6411" width="1.28515625" style="1159" customWidth="1"/>
    <col min="6412" max="6412" width="10.85546875" style="1159" customWidth="1"/>
    <col min="6413" max="6413" width="1.7109375" style="1159" customWidth="1"/>
    <col min="6414" max="6414" width="10.7109375" style="1159" customWidth="1"/>
    <col min="6415" max="6415" width="1.85546875" style="1159" customWidth="1"/>
    <col min="6416" max="6416" width="10.28515625" style="1159" customWidth="1"/>
    <col min="6417" max="6417" width="1.85546875" style="1159" customWidth="1"/>
    <col min="6418" max="6418" width="10" style="1159" customWidth="1"/>
    <col min="6419" max="6420" width="20" style="1159" bestFit="1" customWidth="1"/>
    <col min="6421" max="6656" width="9.140625" style="1159"/>
    <col min="6657" max="6657" width="0.85546875" style="1159" customWidth="1"/>
    <col min="6658" max="6658" width="1.5703125" style="1159" customWidth="1"/>
    <col min="6659" max="6659" width="0.140625" style="1159" customWidth="1"/>
    <col min="6660" max="6660" width="1.7109375" style="1159" customWidth="1"/>
    <col min="6661" max="6661" width="9.140625" style="1159"/>
    <col min="6662" max="6662" width="18.7109375" style="1159" customWidth="1"/>
    <col min="6663" max="6663" width="7.28515625" style="1159" customWidth="1"/>
    <col min="6664" max="6664" width="7.42578125" style="1159" customWidth="1"/>
    <col min="6665" max="6665" width="1.28515625" style="1159" customWidth="1"/>
    <col min="6666" max="6666" width="10" style="1159" customWidth="1"/>
    <col min="6667" max="6667" width="1.28515625" style="1159" customWidth="1"/>
    <col min="6668" max="6668" width="10.85546875" style="1159" customWidth="1"/>
    <col min="6669" max="6669" width="1.7109375" style="1159" customWidth="1"/>
    <col min="6670" max="6670" width="10.7109375" style="1159" customWidth="1"/>
    <col min="6671" max="6671" width="1.85546875" style="1159" customWidth="1"/>
    <col min="6672" max="6672" width="10.28515625" style="1159" customWidth="1"/>
    <col min="6673" max="6673" width="1.85546875" style="1159" customWidth="1"/>
    <col min="6674" max="6674" width="10" style="1159" customWidth="1"/>
    <col min="6675" max="6676" width="20" style="1159" bestFit="1" customWidth="1"/>
    <col min="6677" max="6912" width="9.140625" style="1159"/>
    <col min="6913" max="6913" width="0.85546875" style="1159" customWidth="1"/>
    <col min="6914" max="6914" width="1.5703125" style="1159" customWidth="1"/>
    <col min="6915" max="6915" width="0.140625" style="1159" customWidth="1"/>
    <col min="6916" max="6916" width="1.7109375" style="1159" customWidth="1"/>
    <col min="6917" max="6917" width="9.140625" style="1159"/>
    <col min="6918" max="6918" width="18.7109375" style="1159" customWidth="1"/>
    <col min="6919" max="6919" width="7.28515625" style="1159" customWidth="1"/>
    <col min="6920" max="6920" width="7.42578125" style="1159" customWidth="1"/>
    <col min="6921" max="6921" width="1.28515625" style="1159" customWidth="1"/>
    <col min="6922" max="6922" width="10" style="1159" customWidth="1"/>
    <col min="6923" max="6923" width="1.28515625" style="1159" customWidth="1"/>
    <col min="6924" max="6924" width="10.85546875" style="1159" customWidth="1"/>
    <col min="6925" max="6925" width="1.7109375" style="1159" customWidth="1"/>
    <col min="6926" max="6926" width="10.7109375" style="1159" customWidth="1"/>
    <col min="6927" max="6927" width="1.85546875" style="1159" customWidth="1"/>
    <col min="6928" max="6928" width="10.28515625" style="1159" customWidth="1"/>
    <col min="6929" max="6929" width="1.85546875" style="1159" customWidth="1"/>
    <col min="6930" max="6930" width="10" style="1159" customWidth="1"/>
    <col min="6931" max="6932" width="20" style="1159" bestFit="1" customWidth="1"/>
    <col min="6933" max="7168" width="9.140625" style="1159"/>
    <col min="7169" max="7169" width="0.85546875" style="1159" customWidth="1"/>
    <col min="7170" max="7170" width="1.5703125" style="1159" customWidth="1"/>
    <col min="7171" max="7171" width="0.140625" style="1159" customWidth="1"/>
    <col min="7172" max="7172" width="1.7109375" style="1159" customWidth="1"/>
    <col min="7173" max="7173" width="9.140625" style="1159"/>
    <col min="7174" max="7174" width="18.7109375" style="1159" customWidth="1"/>
    <col min="7175" max="7175" width="7.28515625" style="1159" customWidth="1"/>
    <col min="7176" max="7176" width="7.42578125" style="1159" customWidth="1"/>
    <col min="7177" max="7177" width="1.28515625" style="1159" customWidth="1"/>
    <col min="7178" max="7178" width="10" style="1159" customWidth="1"/>
    <col min="7179" max="7179" width="1.28515625" style="1159" customWidth="1"/>
    <col min="7180" max="7180" width="10.85546875" style="1159" customWidth="1"/>
    <col min="7181" max="7181" width="1.7109375" style="1159" customWidth="1"/>
    <col min="7182" max="7182" width="10.7109375" style="1159" customWidth="1"/>
    <col min="7183" max="7183" width="1.85546875" style="1159" customWidth="1"/>
    <col min="7184" max="7184" width="10.28515625" style="1159" customWidth="1"/>
    <col min="7185" max="7185" width="1.85546875" style="1159" customWidth="1"/>
    <col min="7186" max="7186" width="10" style="1159" customWidth="1"/>
    <col min="7187" max="7188" width="20" style="1159" bestFit="1" customWidth="1"/>
    <col min="7189" max="7424" width="9.140625" style="1159"/>
    <col min="7425" max="7425" width="0.85546875" style="1159" customWidth="1"/>
    <col min="7426" max="7426" width="1.5703125" style="1159" customWidth="1"/>
    <col min="7427" max="7427" width="0.140625" style="1159" customWidth="1"/>
    <col min="7428" max="7428" width="1.7109375" style="1159" customWidth="1"/>
    <col min="7429" max="7429" width="9.140625" style="1159"/>
    <col min="7430" max="7430" width="18.7109375" style="1159" customWidth="1"/>
    <col min="7431" max="7431" width="7.28515625" style="1159" customWidth="1"/>
    <col min="7432" max="7432" width="7.42578125" style="1159" customWidth="1"/>
    <col min="7433" max="7433" width="1.28515625" style="1159" customWidth="1"/>
    <col min="7434" max="7434" width="10" style="1159" customWidth="1"/>
    <col min="7435" max="7435" width="1.28515625" style="1159" customWidth="1"/>
    <col min="7436" max="7436" width="10.85546875" style="1159" customWidth="1"/>
    <col min="7437" max="7437" width="1.7109375" style="1159" customWidth="1"/>
    <col min="7438" max="7438" width="10.7109375" style="1159" customWidth="1"/>
    <col min="7439" max="7439" width="1.85546875" style="1159" customWidth="1"/>
    <col min="7440" max="7440" width="10.28515625" style="1159" customWidth="1"/>
    <col min="7441" max="7441" width="1.85546875" style="1159" customWidth="1"/>
    <col min="7442" max="7442" width="10" style="1159" customWidth="1"/>
    <col min="7443" max="7444" width="20" style="1159" bestFit="1" customWidth="1"/>
    <col min="7445" max="7680" width="9.140625" style="1159"/>
    <col min="7681" max="7681" width="0.85546875" style="1159" customWidth="1"/>
    <col min="7682" max="7682" width="1.5703125" style="1159" customWidth="1"/>
    <col min="7683" max="7683" width="0.140625" style="1159" customWidth="1"/>
    <col min="7684" max="7684" width="1.7109375" style="1159" customWidth="1"/>
    <col min="7685" max="7685" width="9.140625" style="1159"/>
    <col min="7686" max="7686" width="18.7109375" style="1159" customWidth="1"/>
    <col min="7687" max="7687" width="7.28515625" style="1159" customWidth="1"/>
    <col min="7688" max="7688" width="7.42578125" style="1159" customWidth="1"/>
    <col min="7689" max="7689" width="1.28515625" style="1159" customWidth="1"/>
    <col min="7690" max="7690" width="10" style="1159" customWidth="1"/>
    <col min="7691" max="7691" width="1.28515625" style="1159" customWidth="1"/>
    <col min="7692" max="7692" width="10.85546875" style="1159" customWidth="1"/>
    <col min="7693" max="7693" width="1.7109375" style="1159" customWidth="1"/>
    <col min="7694" max="7694" width="10.7109375" style="1159" customWidth="1"/>
    <col min="7695" max="7695" width="1.85546875" style="1159" customWidth="1"/>
    <col min="7696" max="7696" width="10.28515625" style="1159" customWidth="1"/>
    <col min="7697" max="7697" width="1.85546875" style="1159" customWidth="1"/>
    <col min="7698" max="7698" width="10" style="1159" customWidth="1"/>
    <col min="7699" max="7700" width="20" style="1159" bestFit="1" customWidth="1"/>
    <col min="7701" max="7936" width="9.140625" style="1159"/>
    <col min="7937" max="7937" width="0.85546875" style="1159" customWidth="1"/>
    <col min="7938" max="7938" width="1.5703125" style="1159" customWidth="1"/>
    <col min="7939" max="7939" width="0.140625" style="1159" customWidth="1"/>
    <col min="7940" max="7940" width="1.7109375" style="1159" customWidth="1"/>
    <col min="7941" max="7941" width="9.140625" style="1159"/>
    <col min="7942" max="7942" width="18.7109375" style="1159" customWidth="1"/>
    <col min="7943" max="7943" width="7.28515625" style="1159" customWidth="1"/>
    <col min="7944" max="7944" width="7.42578125" style="1159" customWidth="1"/>
    <col min="7945" max="7945" width="1.28515625" style="1159" customWidth="1"/>
    <col min="7946" max="7946" width="10" style="1159" customWidth="1"/>
    <col min="7947" max="7947" width="1.28515625" style="1159" customWidth="1"/>
    <col min="7948" max="7948" width="10.85546875" style="1159" customWidth="1"/>
    <col min="7949" max="7949" width="1.7109375" style="1159" customWidth="1"/>
    <col min="7950" max="7950" width="10.7109375" style="1159" customWidth="1"/>
    <col min="7951" max="7951" width="1.85546875" style="1159" customWidth="1"/>
    <col min="7952" max="7952" width="10.28515625" style="1159" customWidth="1"/>
    <col min="7953" max="7953" width="1.85546875" style="1159" customWidth="1"/>
    <col min="7954" max="7954" width="10" style="1159" customWidth="1"/>
    <col min="7955" max="7956" width="20" style="1159" bestFit="1" customWidth="1"/>
    <col min="7957" max="8192" width="9.140625" style="1159"/>
    <col min="8193" max="8193" width="0.85546875" style="1159" customWidth="1"/>
    <col min="8194" max="8194" width="1.5703125" style="1159" customWidth="1"/>
    <col min="8195" max="8195" width="0.140625" style="1159" customWidth="1"/>
    <col min="8196" max="8196" width="1.7109375" style="1159" customWidth="1"/>
    <col min="8197" max="8197" width="9.140625" style="1159"/>
    <col min="8198" max="8198" width="18.7109375" style="1159" customWidth="1"/>
    <col min="8199" max="8199" width="7.28515625" style="1159" customWidth="1"/>
    <col min="8200" max="8200" width="7.42578125" style="1159" customWidth="1"/>
    <col min="8201" max="8201" width="1.28515625" style="1159" customWidth="1"/>
    <col min="8202" max="8202" width="10" style="1159" customWidth="1"/>
    <col min="8203" max="8203" width="1.28515625" style="1159" customWidth="1"/>
    <col min="8204" max="8204" width="10.85546875" style="1159" customWidth="1"/>
    <col min="8205" max="8205" width="1.7109375" style="1159" customWidth="1"/>
    <col min="8206" max="8206" width="10.7109375" style="1159" customWidth="1"/>
    <col min="8207" max="8207" width="1.85546875" style="1159" customWidth="1"/>
    <col min="8208" max="8208" width="10.28515625" style="1159" customWidth="1"/>
    <col min="8209" max="8209" width="1.85546875" style="1159" customWidth="1"/>
    <col min="8210" max="8210" width="10" style="1159" customWidth="1"/>
    <col min="8211" max="8212" width="20" style="1159" bestFit="1" customWidth="1"/>
    <col min="8213" max="8448" width="9.140625" style="1159"/>
    <col min="8449" max="8449" width="0.85546875" style="1159" customWidth="1"/>
    <col min="8450" max="8450" width="1.5703125" style="1159" customWidth="1"/>
    <col min="8451" max="8451" width="0.140625" style="1159" customWidth="1"/>
    <col min="8452" max="8452" width="1.7109375" style="1159" customWidth="1"/>
    <col min="8453" max="8453" width="9.140625" style="1159"/>
    <col min="8454" max="8454" width="18.7109375" style="1159" customWidth="1"/>
    <col min="8455" max="8455" width="7.28515625" style="1159" customWidth="1"/>
    <col min="8456" max="8456" width="7.42578125" style="1159" customWidth="1"/>
    <col min="8457" max="8457" width="1.28515625" style="1159" customWidth="1"/>
    <col min="8458" max="8458" width="10" style="1159" customWidth="1"/>
    <col min="8459" max="8459" width="1.28515625" style="1159" customWidth="1"/>
    <col min="8460" max="8460" width="10.85546875" style="1159" customWidth="1"/>
    <col min="8461" max="8461" width="1.7109375" style="1159" customWidth="1"/>
    <col min="8462" max="8462" width="10.7109375" style="1159" customWidth="1"/>
    <col min="8463" max="8463" width="1.85546875" style="1159" customWidth="1"/>
    <col min="8464" max="8464" width="10.28515625" style="1159" customWidth="1"/>
    <col min="8465" max="8465" width="1.85546875" style="1159" customWidth="1"/>
    <col min="8466" max="8466" width="10" style="1159" customWidth="1"/>
    <col min="8467" max="8468" width="20" style="1159" bestFit="1" customWidth="1"/>
    <col min="8469" max="8704" width="9.140625" style="1159"/>
    <col min="8705" max="8705" width="0.85546875" style="1159" customWidth="1"/>
    <col min="8706" max="8706" width="1.5703125" style="1159" customWidth="1"/>
    <col min="8707" max="8707" width="0.140625" style="1159" customWidth="1"/>
    <col min="8708" max="8708" width="1.7109375" style="1159" customWidth="1"/>
    <col min="8709" max="8709" width="9.140625" style="1159"/>
    <col min="8710" max="8710" width="18.7109375" style="1159" customWidth="1"/>
    <col min="8711" max="8711" width="7.28515625" style="1159" customWidth="1"/>
    <col min="8712" max="8712" width="7.42578125" style="1159" customWidth="1"/>
    <col min="8713" max="8713" width="1.28515625" style="1159" customWidth="1"/>
    <col min="8714" max="8714" width="10" style="1159" customWidth="1"/>
    <col min="8715" max="8715" width="1.28515625" style="1159" customWidth="1"/>
    <col min="8716" max="8716" width="10.85546875" style="1159" customWidth="1"/>
    <col min="8717" max="8717" width="1.7109375" style="1159" customWidth="1"/>
    <col min="8718" max="8718" width="10.7109375" style="1159" customWidth="1"/>
    <col min="8719" max="8719" width="1.85546875" style="1159" customWidth="1"/>
    <col min="8720" max="8720" width="10.28515625" style="1159" customWidth="1"/>
    <col min="8721" max="8721" width="1.85546875" style="1159" customWidth="1"/>
    <col min="8722" max="8722" width="10" style="1159" customWidth="1"/>
    <col min="8723" max="8724" width="20" style="1159" bestFit="1" customWidth="1"/>
    <col min="8725" max="8960" width="9.140625" style="1159"/>
    <col min="8961" max="8961" width="0.85546875" style="1159" customWidth="1"/>
    <col min="8962" max="8962" width="1.5703125" style="1159" customWidth="1"/>
    <col min="8963" max="8963" width="0.140625" style="1159" customWidth="1"/>
    <col min="8964" max="8964" width="1.7109375" style="1159" customWidth="1"/>
    <col min="8965" max="8965" width="9.140625" style="1159"/>
    <col min="8966" max="8966" width="18.7109375" style="1159" customWidth="1"/>
    <col min="8967" max="8967" width="7.28515625" style="1159" customWidth="1"/>
    <col min="8968" max="8968" width="7.42578125" style="1159" customWidth="1"/>
    <col min="8969" max="8969" width="1.28515625" style="1159" customWidth="1"/>
    <col min="8970" max="8970" width="10" style="1159" customWidth="1"/>
    <col min="8971" max="8971" width="1.28515625" style="1159" customWidth="1"/>
    <col min="8972" max="8972" width="10.85546875" style="1159" customWidth="1"/>
    <col min="8973" max="8973" width="1.7109375" style="1159" customWidth="1"/>
    <col min="8974" max="8974" width="10.7109375" style="1159" customWidth="1"/>
    <col min="8975" max="8975" width="1.85546875" style="1159" customWidth="1"/>
    <col min="8976" max="8976" width="10.28515625" style="1159" customWidth="1"/>
    <col min="8977" max="8977" width="1.85546875" style="1159" customWidth="1"/>
    <col min="8978" max="8978" width="10" style="1159" customWidth="1"/>
    <col min="8979" max="8980" width="20" style="1159" bestFit="1" customWidth="1"/>
    <col min="8981" max="9216" width="9.140625" style="1159"/>
    <col min="9217" max="9217" width="0.85546875" style="1159" customWidth="1"/>
    <col min="9218" max="9218" width="1.5703125" style="1159" customWidth="1"/>
    <col min="9219" max="9219" width="0.140625" style="1159" customWidth="1"/>
    <col min="9220" max="9220" width="1.7109375" style="1159" customWidth="1"/>
    <col min="9221" max="9221" width="9.140625" style="1159"/>
    <col min="9222" max="9222" width="18.7109375" style="1159" customWidth="1"/>
    <col min="9223" max="9223" width="7.28515625" style="1159" customWidth="1"/>
    <col min="9224" max="9224" width="7.42578125" style="1159" customWidth="1"/>
    <col min="9225" max="9225" width="1.28515625" style="1159" customWidth="1"/>
    <col min="9226" max="9226" width="10" style="1159" customWidth="1"/>
    <col min="9227" max="9227" width="1.28515625" style="1159" customWidth="1"/>
    <col min="9228" max="9228" width="10.85546875" style="1159" customWidth="1"/>
    <col min="9229" max="9229" width="1.7109375" style="1159" customWidth="1"/>
    <col min="9230" max="9230" width="10.7109375" style="1159" customWidth="1"/>
    <col min="9231" max="9231" width="1.85546875" style="1159" customWidth="1"/>
    <col min="9232" max="9232" width="10.28515625" style="1159" customWidth="1"/>
    <col min="9233" max="9233" width="1.85546875" style="1159" customWidth="1"/>
    <col min="9234" max="9234" width="10" style="1159" customWidth="1"/>
    <col min="9235" max="9236" width="20" style="1159" bestFit="1" customWidth="1"/>
    <col min="9237" max="9472" width="9.140625" style="1159"/>
    <col min="9473" max="9473" width="0.85546875" style="1159" customWidth="1"/>
    <col min="9474" max="9474" width="1.5703125" style="1159" customWidth="1"/>
    <col min="9475" max="9475" width="0.140625" style="1159" customWidth="1"/>
    <col min="9476" max="9476" width="1.7109375" style="1159" customWidth="1"/>
    <col min="9477" max="9477" width="9.140625" style="1159"/>
    <col min="9478" max="9478" width="18.7109375" style="1159" customWidth="1"/>
    <col min="9479" max="9479" width="7.28515625" style="1159" customWidth="1"/>
    <col min="9480" max="9480" width="7.42578125" style="1159" customWidth="1"/>
    <col min="9481" max="9481" width="1.28515625" style="1159" customWidth="1"/>
    <col min="9482" max="9482" width="10" style="1159" customWidth="1"/>
    <col min="9483" max="9483" width="1.28515625" style="1159" customWidth="1"/>
    <col min="9484" max="9484" width="10.85546875" style="1159" customWidth="1"/>
    <col min="9485" max="9485" width="1.7109375" style="1159" customWidth="1"/>
    <col min="9486" max="9486" width="10.7109375" style="1159" customWidth="1"/>
    <col min="9487" max="9487" width="1.85546875" style="1159" customWidth="1"/>
    <col min="9488" max="9488" width="10.28515625" style="1159" customWidth="1"/>
    <col min="9489" max="9489" width="1.85546875" style="1159" customWidth="1"/>
    <col min="9490" max="9490" width="10" style="1159" customWidth="1"/>
    <col min="9491" max="9492" width="20" style="1159" bestFit="1" customWidth="1"/>
    <col min="9493" max="9728" width="9.140625" style="1159"/>
    <col min="9729" max="9729" width="0.85546875" style="1159" customWidth="1"/>
    <col min="9730" max="9730" width="1.5703125" style="1159" customWidth="1"/>
    <col min="9731" max="9731" width="0.140625" style="1159" customWidth="1"/>
    <col min="9732" max="9732" width="1.7109375" style="1159" customWidth="1"/>
    <col min="9733" max="9733" width="9.140625" style="1159"/>
    <col min="9734" max="9734" width="18.7109375" style="1159" customWidth="1"/>
    <col min="9735" max="9735" width="7.28515625" style="1159" customWidth="1"/>
    <col min="9736" max="9736" width="7.42578125" style="1159" customWidth="1"/>
    <col min="9737" max="9737" width="1.28515625" style="1159" customWidth="1"/>
    <col min="9738" max="9738" width="10" style="1159" customWidth="1"/>
    <col min="9739" max="9739" width="1.28515625" style="1159" customWidth="1"/>
    <col min="9740" max="9740" width="10.85546875" style="1159" customWidth="1"/>
    <col min="9741" max="9741" width="1.7109375" style="1159" customWidth="1"/>
    <col min="9742" max="9742" width="10.7109375" style="1159" customWidth="1"/>
    <col min="9743" max="9743" width="1.85546875" style="1159" customWidth="1"/>
    <col min="9744" max="9744" width="10.28515625" style="1159" customWidth="1"/>
    <col min="9745" max="9745" width="1.85546875" style="1159" customWidth="1"/>
    <col min="9746" max="9746" width="10" style="1159" customWidth="1"/>
    <col min="9747" max="9748" width="20" style="1159" bestFit="1" customWidth="1"/>
    <col min="9749" max="9984" width="9.140625" style="1159"/>
    <col min="9985" max="9985" width="0.85546875" style="1159" customWidth="1"/>
    <col min="9986" max="9986" width="1.5703125" style="1159" customWidth="1"/>
    <col min="9987" max="9987" width="0.140625" style="1159" customWidth="1"/>
    <col min="9988" max="9988" width="1.7109375" style="1159" customWidth="1"/>
    <col min="9989" max="9989" width="9.140625" style="1159"/>
    <col min="9990" max="9990" width="18.7109375" style="1159" customWidth="1"/>
    <col min="9991" max="9991" width="7.28515625" style="1159" customWidth="1"/>
    <col min="9992" max="9992" width="7.42578125" style="1159" customWidth="1"/>
    <col min="9993" max="9993" width="1.28515625" style="1159" customWidth="1"/>
    <col min="9994" max="9994" width="10" style="1159" customWidth="1"/>
    <col min="9995" max="9995" width="1.28515625" style="1159" customWidth="1"/>
    <col min="9996" max="9996" width="10.85546875" style="1159" customWidth="1"/>
    <col min="9997" max="9997" width="1.7109375" style="1159" customWidth="1"/>
    <col min="9998" max="9998" width="10.7109375" style="1159" customWidth="1"/>
    <col min="9999" max="9999" width="1.85546875" style="1159" customWidth="1"/>
    <col min="10000" max="10000" width="10.28515625" style="1159" customWidth="1"/>
    <col min="10001" max="10001" width="1.85546875" style="1159" customWidth="1"/>
    <col min="10002" max="10002" width="10" style="1159" customWidth="1"/>
    <col min="10003" max="10004" width="20" style="1159" bestFit="1" customWidth="1"/>
    <col min="10005" max="10240" width="9.140625" style="1159"/>
    <col min="10241" max="10241" width="0.85546875" style="1159" customWidth="1"/>
    <col min="10242" max="10242" width="1.5703125" style="1159" customWidth="1"/>
    <col min="10243" max="10243" width="0.140625" style="1159" customWidth="1"/>
    <col min="10244" max="10244" width="1.7109375" style="1159" customWidth="1"/>
    <col min="10245" max="10245" width="9.140625" style="1159"/>
    <col min="10246" max="10246" width="18.7109375" style="1159" customWidth="1"/>
    <col min="10247" max="10247" width="7.28515625" style="1159" customWidth="1"/>
    <col min="10248" max="10248" width="7.42578125" style="1159" customWidth="1"/>
    <col min="10249" max="10249" width="1.28515625" style="1159" customWidth="1"/>
    <col min="10250" max="10250" width="10" style="1159" customWidth="1"/>
    <col min="10251" max="10251" width="1.28515625" style="1159" customWidth="1"/>
    <col min="10252" max="10252" width="10.85546875" style="1159" customWidth="1"/>
    <col min="10253" max="10253" width="1.7109375" style="1159" customWidth="1"/>
    <col min="10254" max="10254" width="10.7109375" style="1159" customWidth="1"/>
    <col min="10255" max="10255" width="1.85546875" style="1159" customWidth="1"/>
    <col min="10256" max="10256" width="10.28515625" style="1159" customWidth="1"/>
    <col min="10257" max="10257" width="1.85546875" style="1159" customWidth="1"/>
    <col min="10258" max="10258" width="10" style="1159" customWidth="1"/>
    <col min="10259" max="10260" width="20" style="1159" bestFit="1" customWidth="1"/>
    <col min="10261" max="10496" width="9.140625" style="1159"/>
    <col min="10497" max="10497" width="0.85546875" style="1159" customWidth="1"/>
    <col min="10498" max="10498" width="1.5703125" style="1159" customWidth="1"/>
    <col min="10499" max="10499" width="0.140625" style="1159" customWidth="1"/>
    <col min="10500" max="10500" width="1.7109375" style="1159" customWidth="1"/>
    <col min="10501" max="10501" width="9.140625" style="1159"/>
    <col min="10502" max="10502" width="18.7109375" style="1159" customWidth="1"/>
    <col min="10503" max="10503" width="7.28515625" style="1159" customWidth="1"/>
    <col min="10504" max="10504" width="7.42578125" style="1159" customWidth="1"/>
    <col min="10505" max="10505" width="1.28515625" style="1159" customWidth="1"/>
    <col min="10506" max="10506" width="10" style="1159" customWidth="1"/>
    <col min="10507" max="10507" width="1.28515625" style="1159" customWidth="1"/>
    <col min="10508" max="10508" width="10.85546875" style="1159" customWidth="1"/>
    <col min="10509" max="10509" width="1.7109375" style="1159" customWidth="1"/>
    <col min="10510" max="10510" width="10.7109375" style="1159" customWidth="1"/>
    <col min="10511" max="10511" width="1.85546875" style="1159" customWidth="1"/>
    <col min="10512" max="10512" width="10.28515625" style="1159" customWidth="1"/>
    <col min="10513" max="10513" width="1.85546875" style="1159" customWidth="1"/>
    <col min="10514" max="10514" width="10" style="1159" customWidth="1"/>
    <col min="10515" max="10516" width="20" style="1159" bestFit="1" customWidth="1"/>
    <col min="10517" max="10752" width="9.140625" style="1159"/>
    <col min="10753" max="10753" width="0.85546875" style="1159" customWidth="1"/>
    <col min="10754" max="10754" width="1.5703125" style="1159" customWidth="1"/>
    <col min="10755" max="10755" width="0.140625" style="1159" customWidth="1"/>
    <col min="10756" max="10756" width="1.7109375" style="1159" customWidth="1"/>
    <col min="10757" max="10757" width="9.140625" style="1159"/>
    <col min="10758" max="10758" width="18.7109375" style="1159" customWidth="1"/>
    <col min="10759" max="10759" width="7.28515625" style="1159" customWidth="1"/>
    <col min="10760" max="10760" width="7.42578125" style="1159" customWidth="1"/>
    <col min="10761" max="10761" width="1.28515625" style="1159" customWidth="1"/>
    <col min="10762" max="10762" width="10" style="1159" customWidth="1"/>
    <col min="10763" max="10763" width="1.28515625" style="1159" customWidth="1"/>
    <col min="10764" max="10764" width="10.85546875" style="1159" customWidth="1"/>
    <col min="10765" max="10765" width="1.7109375" style="1159" customWidth="1"/>
    <col min="10766" max="10766" width="10.7109375" style="1159" customWidth="1"/>
    <col min="10767" max="10767" width="1.85546875" style="1159" customWidth="1"/>
    <col min="10768" max="10768" width="10.28515625" style="1159" customWidth="1"/>
    <col min="10769" max="10769" width="1.85546875" style="1159" customWidth="1"/>
    <col min="10770" max="10770" width="10" style="1159" customWidth="1"/>
    <col min="10771" max="10772" width="20" style="1159" bestFit="1" customWidth="1"/>
    <col min="10773" max="11008" width="9.140625" style="1159"/>
    <col min="11009" max="11009" width="0.85546875" style="1159" customWidth="1"/>
    <col min="11010" max="11010" width="1.5703125" style="1159" customWidth="1"/>
    <col min="11011" max="11011" width="0.140625" style="1159" customWidth="1"/>
    <col min="11012" max="11012" width="1.7109375" style="1159" customWidth="1"/>
    <col min="11013" max="11013" width="9.140625" style="1159"/>
    <col min="11014" max="11014" width="18.7109375" style="1159" customWidth="1"/>
    <col min="11015" max="11015" width="7.28515625" style="1159" customWidth="1"/>
    <col min="11016" max="11016" width="7.42578125" style="1159" customWidth="1"/>
    <col min="11017" max="11017" width="1.28515625" style="1159" customWidth="1"/>
    <col min="11018" max="11018" width="10" style="1159" customWidth="1"/>
    <col min="11019" max="11019" width="1.28515625" style="1159" customWidth="1"/>
    <col min="11020" max="11020" width="10.85546875" style="1159" customWidth="1"/>
    <col min="11021" max="11021" width="1.7109375" style="1159" customWidth="1"/>
    <col min="11022" max="11022" width="10.7109375" style="1159" customWidth="1"/>
    <col min="11023" max="11023" width="1.85546875" style="1159" customWidth="1"/>
    <col min="11024" max="11024" width="10.28515625" style="1159" customWidth="1"/>
    <col min="11025" max="11025" width="1.85546875" style="1159" customWidth="1"/>
    <col min="11026" max="11026" width="10" style="1159" customWidth="1"/>
    <col min="11027" max="11028" width="20" style="1159" bestFit="1" customWidth="1"/>
    <col min="11029" max="11264" width="9.140625" style="1159"/>
    <col min="11265" max="11265" width="0.85546875" style="1159" customWidth="1"/>
    <col min="11266" max="11266" width="1.5703125" style="1159" customWidth="1"/>
    <col min="11267" max="11267" width="0.140625" style="1159" customWidth="1"/>
    <col min="11268" max="11268" width="1.7109375" style="1159" customWidth="1"/>
    <col min="11269" max="11269" width="9.140625" style="1159"/>
    <col min="11270" max="11270" width="18.7109375" style="1159" customWidth="1"/>
    <col min="11271" max="11271" width="7.28515625" style="1159" customWidth="1"/>
    <col min="11272" max="11272" width="7.42578125" style="1159" customWidth="1"/>
    <col min="11273" max="11273" width="1.28515625" style="1159" customWidth="1"/>
    <col min="11274" max="11274" width="10" style="1159" customWidth="1"/>
    <col min="11275" max="11275" width="1.28515625" style="1159" customWidth="1"/>
    <col min="11276" max="11276" width="10.85546875" style="1159" customWidth="1"/>
    <col min="11277" max="11277" width="1.7109375" style="1159" customWidth="1"/>
    <col min="11278" max="11278" width="10.7109375" style="1159" customWidth="1"/>
    <col min="11279" max="11279" width="1.85546875" style="1159" customWidth="1"/>
    <col min="11280" max="11280" width="10.28515625" style="1159" customWidth="1"/>
    <col min="11281" max="11281" width="1.85546875" style="1159" customWidth="1"/>
    <col min="11282" max="11282" width="10" style="1159" customWidth="1"/>
    <col min="11283" max="11284" width="20" style="1159" bestFit="1" customWidth="1"/>
    <col min="11285" max="11520" width="9.140625" style="1159"/>
    <col min="11521" max="11521" width="0.85546875" style="1159" customWidth="1"/>
    <col min="11522" max="11522" width="1.5703125" style="1159" customWidth="1"/>
    <col min="11523" max="11523" width="0.140625" style="1159" customWidth="1"/>
    <col min="11524" max="11524" width="1.7109375" style="1159" customWidth="1"/>
    <col min="11525" max="11525" width="9.140625" style="1159"/>
    <col min="11526" max="11526" width="18.7109375" style="1159" customWidth="1"/>
    <col min="11527" max="11527" width="7.28515625" style="1159" customWidth="1"/>
    <col min="11528" max="11528" width="7.42578125" style="1159" customWidth="1"/>
    <col min="11529" max="11529" width="1.28515625" style="1159" customWidth="1"/>
    <col min="11530" max="11530" width="10" style="1159" customWidth="1"/>
    <col min="11531" max="11531" width="1.28515625" style="1159" customWidth="1"/>
    <col min="11532" max="11532" width="10.85546875" style="1159" customWidth="1"/>
    <col min="11533" max="11533" width="1.7109375" style="1159" customWidth="1"/>
    <col min="11534" max="11534" width="10.7109375" style="1159" customWidth="1"/>
    <col min="11535" max="11535" width="1.85546875" style="1159" customWidth="1"/>
    <col min="11536" max="11536" width="10.28515625" style="1159" customWidth="1"/>
    <col min="11537" max="11537" width="1.85546875" style="1159" customWidth="1"/>
    <col min="11538" max="11538" width="10" style="1159" customWidth="1"/>
    <col min="11539" max="11540" width="20" style="1159" bestFit="1" customWidth="1"/>
    <col min="11541" max="11776" width="9.140625" style="1159"/>
    <col min="11777" max="11777" width="0.85546875" style="1159" customWidth="1"/>
    <col min="11778" max="11778" width="1.5703125" style="1159" customWidth="1"/>
    <col min="11779" max="11779" width="0.140625" style="1159" customWidth="1"/>
    <col min="11780" max="11780" width="1.7109375" style="1159" customWidth="1"/>
    <col min="11781" max="11781" width="9.140625" style="1159"/>
    <col min="11782" max="11782" width="18.7109375" style="1159" customWidth="1"/>
    <col min="11783" max="11783" width="7.28515625" style="1159" customWidth="1"/>
    <col min="11784" max="11784" width="7.42578125" style="1159" customWidth="1"/>
    <col min="11785" max="11785" width="1.28515625" style="1159" customWidth="1"/>
    <col min="11786" max="11786" width="10" style="1159" customWidth="1"/>
    <col min="11787" max="11787" width="1.28515625" style="1159" customWidth="1"/>
    <col min="11788" max="11788" width="10.85546875" style="1159" customWidth="1"/>
    <col min="11789" max="11789" width="1.7109375" style="1159" customWidth="1"/>
    <col min="11790" max="11790" width="10.7109375" style="1159" customWidth="1"/>
    <col min="11791" max="11791" width="1.85546875" style="1159" customWidth="1"/>
    <col min="11792" max="11792" width="10.28515625" style="1159" customWidth="1"/>
    <col min="11793" max="11793" width="1.85546875" style="1159" customWidth="1"/>
    <col min="11794" max="11794" width="10" style="1159" customWidth="1"/>
    <col min="11795" max="11796" width="20" style="1159" bestFit="1" customWidth="1"/>
    <col min="11797" max="12032" width="9.140625" style="1159"/>
    <col min="12033" max="12033" width="0.85546875" style="1159" customWidth="1"/>
    <col min="12034" max="12034" width="1.5703125" style="1159" customWidth="1"/>
    <col min="12035" max="12035" width="0.140625" style="1159" customWidth="1"/>
    <col min="12036" max="12036" width="1.7109375" style="1159" customWidth="1"/>
    <col min="12037" max="12037" width="9.140625" style="1159"/>
    <col min="12038" max="12038" width="18.7109375" style="1159" customWidth="1"/>
    <col min="12039" max="12039" width="7.28515625" style="1159" customWidth="1"/>
    <col min="12040" max="12040" width="7.42578125" style="1159" customWidth="1"/>
    <col min="12041" max="12041" width="1.28515625" style="1159" customWidth="1"/>
    <col min="12042" max="12042" width="10" style="1159" customWidth="1"/>
    <col min="12043" max="12043" width="1.28515625" style="1159" customWidth="1"/>
    <col min="12044" max="12044" width="10.85546875" style="1159" customWidth="1"/>
    <col min="12045" max="12045" width="1.7109375" style="1159" customWidth="1"/>
    <col min="12046" max="12046" width="10.7109375" style="1159" customWidth="1"/>
    <col min="12047" max="12047" width="1.85546875" style="1159" customWidth="1"/>
    <col min="12048" max="12048" width="10.28515625" style="1159" customWidth="1"/>
    <col min="12049" max="12049" width="1.85546875" style="1159" customWidth="1"/>
    <col min="12050" max="12050" width="10" style="1159" customWidth="1"/>
    <col min="12051" max="12052" width="20" style="1159" bestFit="1" customWidth="1"/>
    <col min="12053" max="12288" width="9.140625" style="1159"/>
    <col min="12289" max="12289" width="0.85546875" style="1159" customWidth="1"/>
    <col min="12290" max="12290" width="1.5703125" style="1159" customWidth="1"/>
    <col min="12291" max="12291" width="0.140625" style="1159" customWidth="1"/>
    <col min="12292" max="12292" width="1.7109375" style="1159" customWidth="1"/>
    <col min="12293" max="12293" width="9.140625" style="1159"/>
    <col min="12294" max="12294" width="18.7109375" style="1159" customWidth="1"/>
    <col min="12295" max="12295" width="7.28515625" style="1159" customWidth="1"/>
    <col min="12296" max="12296" width="7.42578125" style="1159" customWidth="1"/>
    <col min="12297" max="12297" width="1.28515625" style="1159" customWidth="1"/>
    <col min="12298" max="12298" width="10" style="1159" customWidth="1"/>
    <col min="12299" max="12299" width="1.28515625" style="1159" customWidth="1"/>
    <col min="12300" max="12300" width="10.85546875" style="1159" customWidth="1"/>
    <col min="12301" max="12301" width="1.7109375" style="1159" customWidth="1"/>
    <col min="12302" max="12302" width="10.7109375" style="1159" customWidth="1"/>
    <col min="12303" max="12303" width="1.85546875" style="1159" customWidth="1"/>
    <col min="12304" max="12304" width="10.28515625" style="1159" customWidth="1"/>
    <col min="12305" max="12305" width="1.85546875" style="1159" customWidth="1"/>
    <col min="12306" max="12306" width="10" style="1159" customWidth="1"/>
    <col min="12307" max="12308" width="20" style="1159" bestFit="1" customWidth="1"/>
    <col min="12309" max="12544" width="9.140625" style="1159"/>
    <col min="12545" max="12545" width="0.85546875" style="1159" customWidth="1"/>
    <col min="12546" max="12546" width="1.5703125" style="1159" customWidth="1"/>
    <col min="12547" max="12547" width="0.140625" style="1159" customWidth="1"/>
    <col min="12548" max="12548" width="1.7109375" style="1159" customWidth="1"/>
    <col min="12549" max="12549" width="9.140625" style="1159"/>
    <col min="12550" max="12550" width="18.7109375" style="1159" customWidth="1"/>
    <col min="12551" max="12551" width="7.28515625" style="1159" customWidth="1"/>
    <col min="12552" max="12552" width="7.42578125" style="1159" customWidth="1"/>
    <col min="12553" max="12553" width="1.28515625" style="1159" customWidth="1"/>
    <col min="12554" max="12554" width="10" style="1159" customWidth="1"/>
    <col min="12555" max="12555" width="1.28515625" style="1159" customWidth="1"/>
    <col min="12556" max="12556" width="10.85546875" style="1159" customWidth="1"/>
    <col min="12557" max="12557" width="1.7109375" style="1159" customWidth="1"/>
    <col min="12558" max="12558" width="10.7109375" style="1159" customWidth="1"/>
    <col min="12559" max="12559" width="1.85546875" style="1159" customWidth="1"/>
    <col min="12560" max="12560" width="10.28515625" style="1159" customWidth="1"/>
    <col min="12561" max="12561" width="1.85546875" style="1159" customWidth="1"/>
    <col min="12562" max="12562" width="10" style="1159" customWidth="1"/>
    <col min="12563" max="12564" width="20" style="1159" bestFit="1" customWidth="1"/>
    <col min="12565" max="12800" width="9.140625" style="1159"/>
    <col min="12801" max="12801" width="0.85546875" style="1159" customWidth="1"/>
    <col min="12802" max="12802" width="1.5703125" style="1159" customWidth="1"/>
    <col min="12803" max="12803" width="0.140625" style="1159" customWidth="1"/>
    <col min="12804" max="12804" width="1.7109375" style="1159" customWidth="1"/>
    <col min="12805" max="12805" width="9.140625" style="1159"/>
    <col min="12806" max="12806" width="18.7109375" style="1159" customWidth="1"/>
    <col min="12807" max="12807" width="7.28515625" style="1159" customWidth="1"/>
    <col min="12808" max="12808" width="7.42578125" style="1159" customWidth="1"/>
    <col min="12809" max="12809" width="1.28515625" style="1159" customWidth="1"/>
    <col min="12810" max="12810" width="10" style="1159" customWidth="1"/>
    <col min="12811" max="12811" width="1.28515625" style="1159" customWidth="1"/>
    <col min="12812" max="12812" width="10.85546875" style="1159" customWidth="1"/>
    <col min="12813" max="12813" width="1.7109375" style="1159" customWidth="1"/>
    <col min="12814" max="12814" width="10.7109375" style="1159" customWidth="1"/>
    <col min="12815" max="12815" width="1.85546875" style="1159" customWidth="1"/>
    <col min="12816" max="12816" width="10.28515625" style="1159" customWidth="1"/>
    <col min="12817" max="12817" width="1.85546875" style="1159" customWidth="1"/>
    <col min="12818" max="12818" width="10" style="1159" customWidth="1"/>
    <col min="12819" max="12820" width="20" style="1159" bestFit="1" customWidth="1"/>
    <col min="12821" max="13056" width="9.140625" style="1159"/>
    <col min="13057" max="13057" width="0.85546875" style="1159" customWidth="1"/>
    <col min="13058" max="13058" width="1.5703125" style="1159" customWidth="1"/>
    <col min="13059" max="13059" width="0.140625" style="1159" customWidth="1"/>
    <col min="13060" max="13060" width="1.7109375" style="1159" customWidth="1"/>
    <col min="13061" max="13061" width="9.140625" style="1159"/>
    <col min="13062" max="13062" width="18.7109375" style="1159" customWidth="1"/>
    <col min="13063" max="13063" width="7.28515625" style="1159" customWidth="1"/>
    <col min="13064" max="13064" width="7.42578125" style="1159" customWidth="1"/>
    <col min="13065" max="13065" width="1.28515625" style="1159" customWidth="1"/>
    <col min="13066" max="13066" width="10" style="1159" customWidth="1"/>
    <col min="13067" max="13067" width="1.28515625" style="1159" customWidth="1"/>
    <col min="13068" max="13068" width="10.85546875" style="1159" customWidth="1"/>
    <col min="13069" max="13069" width="1.7109375" style="1159" customWidth="1"/>
    <col min="13070" max="13070" width="10.7109375" style="1159" customWidth="1"/>
    <col min="13071" max="13071" width="1.85546875" style="1159" customWidth="1"/>
    <col min="13072" max="13072" width="10.28515625" style="1159" customWidth="1"/>
    <col min="13073" max="13073" width="1.85546875" style="1159" customWidth="1"/>
    <col min="13074" max="13074" width="10" style="1159" customWidth="1"/>
    <col min="13075" max="13076" width="20" style="1159" bestFit="1" customWidth="1"/>
    <col min="13077" max="13312" width="9.140625" style="1159"/>
    <col min="13313" max="13313" width="0.85546875" style="1159" customWidth="1"/>
    <col min="13314" max="13314" width="1.5703125" style="1159" customWidth="1"/>
    <col min="13315" max="13315" width="0.140625" style="1159" customWidth="1"/>
    <col min="13316" max="13316" width="1.7109375" style="1159" customWidth="1"/>
    <col min="13317" max="13317" width="9.140625" style="1159"/>
    <col min="13318" max="13318" width="18.7109375" style="1159" customWidth="1"/>
    <col min="13319" max="13319" width="7.28515625" style="1159" customWidth="1"/>
    <col min="13320" max="13320" width="7.42578125" style="1159" customWidth="1"/>
    <col min="13321" max="13321" width="1.28515625" style="1159" customWidth="1"/>
    <col min="13322" max="13322" width="10" style="1159" customWidth="1"/>
    <col min="13323" max="13323" width="1.28515625" style="1159" customWidth="1"/>
    <col min="13324" max="13324" width="10.85546875" style="1159" customWidth="1"/>
    <col min="13325" max="13325" width="1.7109375" style="1159" customWidth="1"/>
    <col min="13326" max="13326" width="10.7109375" style="1159" customWidth="1"/>
    <col min="13327" max="13327" width="1.85546875" style="1159" customWidth="1"/>
    <col min="13328" max="13328" width="10.28515625" style="1159" customWidth="1"/>
    <col min="13329" max="13329" width="1.85546875" style="1159" customWidth="1"/>
    <col min="13330" max="13330" width="10" style="1159" customWidth="1"/>
    <col min="13331" max="13332" width="20" style="1159" bestFit="1" customWidth="1"/>
    <col min="13333" max="13568" width="9.140625" style="1159"/>
    <col min="13569" max="13569" width="0.85546875" style="1159" customWidth="1"/>
    <col min="13570" max="13570" width="1.5703125" style="1159" customWidth="1"/>
    <col min="13571" max="13571" width="0.140625" style="1159" customWidth="1"/>
    <col min="13572" max="13572" width="1.7109375" style="1159" customWidth="1"/>
    <col min="13573" max="13573" width="9.140625" style="1159"/>
    <col min="13574" max="13574" width="18.7109375" style="1159" customWidth="1"/>
    <col min="13575" max="13575" width="7.28515625" style="1159" customWidth="1"/>
    <col min="13576" max="13576" width="7.42578125" style="1159" customWidth="1"/>
    <col min="13577" max="13577" width="1.28515625" style="1159" customWidth="1"/>
    <col min="13578" max="13578" width="10" style="1159" customWidth="1"/>
    <col min="13579" max="13579" width="1.28515625" style="1159" customWidth="1"/>
    <col min="13580" max="13580" width="10.85546875" style="1159" customWidth="1"/>
    <col min="13581" max="13581" width="1.7109375" style="1159" customWidth="1"/>
    <col min="13582" max="13582" width="10.7109375" style="1159" customWidth="1"/>
    <col min="13583" max="13583" width="1.85546875" style="1159" customWidth="1"/>
    <col min="13584" max="13584" width="10.28515625" style="1159" customWidth="1"/>
    <col min="13585" max="13585" width="1.85546875" style="1159" customWidth="1"/>
    <col min="13586" max="13586" width="10" style="1159" customWidth="1"/>
    <col min="13587" max="13588" width="20" style="1159" bestFit="1" customWidth="1"/>
    <col min="13589" max="13824" width="9.140625" style="1159"/>
    <col min="13825" max="13825" width="0.85546875" style="1159" customWidth="1"/>
    <col min="13826" max="13826" width="1.5703125" style="1159" customWidth="1"/>
    <col min="13827" max="13827" width="0.140625" style="1159" customWidth="1"/>
    <col min="13828" max="13828" width="1.7109375" style="1159" customWidth="1"/>
    <col min="13829" max="13829" width="9.140625" style="1159"/>
    <col min="13830" max="13830" width="18.7109375" style="1159" customWidth="1"/>
    <col min="13831" max="13831" width="7.28515625" style="1159" customWidth="1"/>
    <col min="13832" max="13832" width="7.42578125" style="1159" customWidth="1"/>
    <col min="13833" max="13833" width="1.28515625" style="1159" customWidth="1"/>
    <col min="13834" max="13834" width="10" style="1159" customWidth="1"/>
    <col min="13835" max="13835" width="1.28515625" style="1159" customWidth="1"/>
    <col min="13836" max="13836" width="10.85546875" style="1159" customWidth="1"/>
    <col min="13837" max="13837" width="1.7109375" style="1159" customWidth="1"/>
    <col min="13838" max="13838" width="10.7109375" style="1159" customWidth="1"/>
    <col min="13839" max="13839" width="1.85546875" style="1159" customWidth="1"/>
    <col min="13840" max="13840" width="10.28515625" style="1159" customWidth="1"/>
    <col min="13841" max="13841" width="1.85546875" style="1159" customWidth="1"/>
    <col min="13842" max="13842" width="10" style="1159" customWidth="1"/>
    <col min="13843" max="13844" width="20" style="1159" bestFit="1" customWidth="1"/>
    <col min="13845" max="14080" width="9.140625" style="1159"/>
    <col min="14081" max="14081" width="0.85546875" style="1159" customWidth="1"/>
    <col min="14082" max="14082" width="1.5703125" style="1159" customWidth="1"/>
    <col min="14083" max="14083" width="0.140625" style="1159" customWidth="1"/>
    <col min="14084" max="14084" width="1.7109375" style="1159" customWidth="1"/>
    <col min="14085" max="14085" width="9.140625" style="1159"/>
    <col min="14086" max="14086" width="18.7109375" style="1159" customWidth="1"/>
    <col min="14087" max="14087" width="7.28515625" style="1159" customWidth="1"/>
    <col min="14088" max="14088" width="7.42578125" style="1159" customWidth="1"/>
    <col min="14089" max="14089" width="1.28515625" style="1159" customWidth="1"/>
    <col min="14090" max="14090" width="10" style="1159" customWidth="1"/>
    <col min="14091" max="14091" width="1.28515625" style="1159" customWidth="1"/>
    <col min="14092" max="14092" width="10.85546875" style="1159" customWidth="1"/>
    <col min="14093" max="14093" width="1.7109375" style="1159" customWidth="1"/>
    <col min="14094" max="14094" width="10.7109375" style="1159" customWidth="1"/>
    <col min="14095" max="14095" width="1.85546875" style="1159" customWidth="1"/>
    <col min="14096" max="14096" width="10.28515625" style="1159" customWidth="1"/>
    <col min="14097" max="14097" width="1.85546875" style="1159" customWidth="1"/>
    <col min="14098" max="14098" width="10" style="1159" customWidth="1"/>
    <col min="14099" max="14100" width="20" style="1159" bestFit="1" customWidth="1"/>
    <col min="14101" max="14336" width="9.140625" style="1159"/>
    <col min="14337" max="14337" width="0.85546875" style="1159" customWidth="1"/>
    <col min="14338" max="14338" width="1.5703125" style="1159" customWidth="1"/>
    <col min="14339" max="14339" width="0.140625" style="1159" customWidth="1"/>
    <col min="14340" max="14340" width="1.7109375" style="1159" customWidth="1"/>
    <col min="14341" max="14341" width="9.140625" style="1159"/>
    <col min="14342" max="14342" width="18.7109375" style="1159" customWidth="1"/>
    <col min="14343" max="14343" width="7.28515625" style="1159" customWidth="1"/>
    <col min="14344" max="14344" width="7.42578125" style="1159" customWidth="1"/>
    <col min="14345" max="14345" width="1.28515625" style="1159" customWidth="1"/>
    <col min="14346" max="14346" width="10" style="1159" customWidth="1"/>
    <col min="14347" max="14347" width="1.28515625" style="1159" customWidth="1"/>
    <col min="14348" max="14348" width="10.85546875" style="1159" customWidth="1"/>
    <col min="14349" max="14349" width="1.7109375" style="1159" customWidth="1"/>
    <col min="14350" max="14350" width="10.7109375" style="1159" customWidth="1"/>
    <col min="14351" max="14351" width="1.85546875" style="1159" customWidth="1"/>
    <col min="14352" max="14352" width="10.28515625" style="1159" customWidth="1"/>
    <col min="14353" max="14353" width="1.85546875" style="1159" customWidth="1"/>
    <col min="14354" max="14354" width="10" style="1159" customWidth="1"/>
    <col min="14355" max="14356" width="20" style="1159" bestFit="1" customWidth="1"/>
    <col min="14357" max="14592" width="9.140625" style="1159"/>
    <col min="14593" max="14593" width="0.85546875" style="1159" customWidth="1"/>
    <col min="14594" max="14594" width="1.5703125" style="1159" customWidth="1"/>
    <col min="14595" max="14595" width="0.140625" style="1159" customWidth="1"/>
    <col min="14596" max="14596" width="1.7109375" style="1159" customWidth="1"/>
    <col min="14597" max="14597" width="9.140625" style="1159"/>
    <col min="14598" max="14598" width="18.7109375" style="1159" customWidth="1"/>
    <col min="14599" max="14599" width="7.28515625" style="1159" customWidth="1"/>
    <col min="14600" max="14600" width="7.42578125" style="1159" customWidth="1"/>
    <col min="14601" max="14601" width="1.28515625" style="1159" customWidth="1"/>
    <col min="14602" max="14602" width="10" style="1159" customWidth="1"/>
    <col min="14603" max="14603" width="1.28515625" style="1159" customWidth="1"/>
    <col min="14604" max="14604" width="10.85546875" style="1159" customWidth="1"/>
    <col min="14605" max="14605" width="1.7109375" style="1159" customWidth="1"/>
    <col min="14606" max="14606" width="10.7109375" style="1159" customWidth="1"/>
    <col min="14607" max="14607" width="1.85546875" style="1159" customWidth="1"/>
    <col min="14608" max="14608" width="10.28515625" style="1159" customWidth="1"/>
    <col min="14609" max="14609" width="1.85546875" style="1159" customWidth="1"/>
    <col min="14610" max="14610" width="10" style="1159" customWidth="1"/>
    <col min="14611" max="14612" width="20" style="1159" bestFit="1" customWidth="1"/>
    <col min="14613" max="14848" width="9.140625" style="1159"/>
    <col min="14849" max="14849" width="0.85546875" style="1159" customWidth="1"/>
    <col min="14850" max="14850" width="1.5703125" style="1159" customWidth="1"/>
    <col min="14851" max="14851" width="0.140625" style="1159" customWidth="1"/>
    <col min="14852" max="14852" width="1.7109375" style="1159" customWidth="1"/>
    <col min="14853" max="14853" width="9.140625" style="1159"/>
    <col min="14854" max="14854" width="18.7109375" style="1159" customWidth="1"/>
    <col min="14855" max="14855" width="7.28515625" style="1159" customWidth="1"/>
    <col min="14856" max="14856" width="7.42578125" style="1159" customWidth="1"/>
    <col min="14857" max="14857" width="1.28515625" style="1159" customWidth="1"/>
    <col min="14858" max="14858" width="10" style="1159" customWidth="1"/>
    <col min="14859" max="14859" width="1.28515625" style="1159" customWidth="1"/>
    <col min="14860" max="14860" width="10.85546875" style="1159" customWidth="1"/>
    <col min="14861" max="14861" width="1.7109375" style="1159" customWidth="1"/>
    <col min="14862" max="14862" width="10.7109375" style="1159" customWidth="1"/>
    <col min="14863" max="14863" width="1.85546875" style="1159" customWidth="1"/>
    <col min="14864" max="14864" width="10.28515625" style="1159" customWidth="1"/>
    <col min="14865" max="14865" width="1.85546875" style="1159" customWidth="1"/>
    <col min="14866" max="14866" width="10" style="1159" customWidth="1"/>
    <col min="14867" max="14868" width="20" style="1159" bestFit="1" customWidth="1"/>
    <col min="14869" max="15104" width="9.140625" style="1159"/>
    <col min="15105" max="15105" width="0.85546875" style="1159" customWidth="1"/>
    <col min="15106" max="15106" width="1.5703125" style="1159" customWidth="1"/>
    <col min="15107" max="15107" width="0.140625" style="1159" customWidth="1"/>
    <col min="15108" max="15108" width="1.7109375" style="1159" customWidth="1"/>
    <col min="15109" max="15109" width="9.140625" style="1159"/>
    <col min="15110" max="15110" width="18.7109375" style="1159" customWidth="1"/>
    <col min="15111" max="15111" width="7.28515625" style="1159" customWidth="1"/>
    <col min="15112" max="15112" width="7.42578125" style="1159" customWidth="1"/>
    <col min="15113" max="15113" width="1.28515625" style="1159" customWidth="1"/>
    <col min="15114" max="15114" width="10" style="1159" customWidth="1"/>
    <col min="15115" max="15115" width="1.28515625" style="1159" customWidth="1"/>
    <col min="15116" max="15116" width="10.85546875" style="1159" customWidth="1"/>
    <col min="15117" max="15117" width="1.7109375" style="1159" customWidth="1"/>
    <col min="15118" max="15118" width="10.7109375" style="1159" customWidth="1"/>
    <col min="15119" max="15119" width="1.85546875" style="1159" customWidth="1"/>
    <col min="15120" max="15120" width="10.28515625" style="1159" customWidth="1"/>
    <col min="15121" max="15121" width="1.85546875" style="1159" customWidth="1"/>
    <col min="15122" max="15122" width="10" style="1159" customWidth="1"/>
    <col min="15123" max="15124" width="20" style="1159" bestFit="1" customWidth="1"/>
    <col min="15125" max="15360" width="9.140625" style="1159"/>
    <col min="15361" max="15361" width="0.85546875" style="1159" customWidth="1"/>
    <col min="15362" max="15362" width="1.5703125" style="1159" customWidth="1"/>
    <col min="15363" max="15363" width="0.140625" style="1159" customWidth="1"/>
    <col min="15364" max="15364" width="1.7109375" style="1159" customWidth="1"/>
    <col min="15365" max="15365" width="9.140625" style="1159"/>
    <col min="15366" max="15366" width="18.7109375" style="1159" customWidth="1"/>
    <col min="15367" max="15367" width="7.28515625" style="1159" customWidth="1"/>
    <col min="15368" max="15368" width="7.42578125" style="1159" customWidth="1"/>
    <col min="15369" max="15369" width="1.28515625" style="1159" customWidth="1"/>
    <col min="15370" max="15370" width="10" style="1159" customWidth="1"/>
    <col min="15371" max="15371" width="1.28515625" style="1159" customWidth="1"/>
    <col min="15372" max="15372" width="10.85546875" style="1159" customWidth="1"/>
    <col min="15373" max="15373" width="1.7109375" style="1159" customWidth="1"/>
    <col min="15374" max="15374" width="10.7109375" style="1159" customWidth="1"/>
    <col min="15375" max="15375" width="1.85546875" style="1159" customWidth="1"/>
    <col min="15376" max="15376" width="10.28515625" style="1159" customWidth="1"/>
    <col min="15377" max="15377" width="1.85546875" style="1159" customWidth="1"/>
    <col min="15378" max="15378" width="10" style="1159" customWidth="1"/>
    <col min="15379" max="15380" width="20" style="1159" bestFit="1" customWidth="1"/>
    <col min="15381" max="15616" width="9.140625" style="1159"/>
    <col min="15617" max="15617" width="0.85546875" style="1159" customWidth="1"/>
    <col min="15618" max="15618" width="1.5703125" style="1159" customWidth="1"/>
    <col min="15619" max="15619" width="0.140625" style="1159" customWidth="1"/>
    <col min="15620" max="15620" width="1.7109375" style="1159" customWidth="1"/>
    <col min="15621" max="15621" width="9.140625" style="1159"/>
    <col min="15622" max="15622" width="18.7109375" style="1159" customWidth="1"/>
    <col min="15623" max="15623" width="7.28515625" style="1159" customWidth="1"/>
    <col min="15624" max="15624" width="7.42578125" style="1159" customWidth="1"/>
    <col min="15625" max="15625" width="1.28515625" style="1159" customWidth="1"/>
    <col min="15626" max="15626" width="10" style="1159" customWidth="1"/>
    <col min="15627" max="15627" width="1.28515625" style="1159" customWidth="1"/>
    <col min="15628" max="15628" width="10.85546875" style="1159" customWidth="1"/>
    <col min="15629" max="15629" width="1.7109375" style="1159" customWidth="1"/>
    <col min="15630" max="15630" width="10.7109375" style="1159" customWidth="1"/>
    <col min="15631" max="15631" width="1.85546875" style="1159" customWidth="1"/>
    <col min="15632" max="15632" width="10.28515625" style="1159" customWidth="1"/>
    <col min="15633" max="15633" width="1.85546875" style="1159" customWidth="1"/>
    <col min="15634" max="15634" width="10" style="1159" customWidth="1"/>
    <col min="15635" max="15636" width="20" style="1159" bestFit="1" customWidth="1"/>
    <col min="15637" max="15872" width="9.140625" style="1159"/>
    <col min="15873" max="15873" width="0.85546875" style="1159" customWidth="1"/>
    <col min="15874" max="15874" width="1.5703125" style="1159" customWidth="1"/>
    <col min="15875" max="15875" width="0.140625" style="1159" customWidth="1"/>
    <col min="15876" max="15876" width="1.7109375" style="1159" customWidth="1"/>
    <col min="15877" max="15877" width="9.140625" style="1159"/>
    <col min="15878" max="15878" width="18.7109375" style="1159" customWidth="1"/>
    <col min="15879" max="15879" width="7.28515625" style="1159" customWidth="1"/>
    <col min="15880" max="15880" width="7.42578125" style="1159" customWidth="1"/>
    <col min="15881" max="15881" width="1.28515625" style="1159" customWidth="1"/>
    <col min="15882" max="15882" width="10" style="1159" customWidth="1"/>
    <col min="15883" max="15883" width="1.28515625" style="1159" customWidth="1"/>
    <col min="15884" max="15884" width="10.85546875" style="1159" customWidth="1"/>
    <col min="15885" max="15885" width="1.7109375" style="1159" customWidth="1"/>
    <col min="15886" max="15886" width="10.7109375" style="1159" customWidth="1"/>
    <col min="15887" max="15887" width="1.85546875" style="1159" customWidth="1"/>
    <col min="15888" max="15888" width="10.28515625" style="1159" customWidth="1"/>
    <col min="15889" max="15889" width="1.85546875" style="1159" customWidth="1"/>
    <col min="15890" max="15890" width="10" style="1159" customWidth="1"/>
    <col min="15891" max="15892" width="20" style="1159" bestFit="1" customWidth="1"/>
    <col min="15893" max="16128" width="9.140625" style="1159"/>
    <col min="16129" max="16129" width="0.85546875" style="1159" customWidth="1"/>
    <col min="16130" max="16130" width="1.5703125" style="1159" customWidth="1"/>
    <col min="16131" max="16131" width="0.140625" style="1159" customWidth="1"/>
    <col min="16132" max="16132" width="1.7109375" style="1159" customWidth="1"/>
    <col min="16133" max="16133" width="9.140625" style="1159"/>
    <col min="16134" max="16134" width="18.7109375" style="1159" customWidth="1"/>
    <col min="16135" max="16135" width="7.28515625" style="1159" customWidth="1"/>
    <col min="16136" max="16136" width="7.42578125" style="1159" customWidth="1"/>
    <col min="16137" max="16137" width="1.28515625" style="1159" customWidth="1"/>
    <col min="16138" max="16138" width="10" style="1159" customWidth="1"/>
    <col min="16139" max="16139" width="1.28515625" style="1159" customWidth="1"/>
    <col min="16140" max="16140" width="10.85546875" style="1159" customWidth="1"/>
    <col min="16141" max="16141" width="1.7109375" style="1159" customWidth="1"/>
    <col min="16142" max="16142" width="10.7109375" style="1159" customWidth="1"/>
    <col min="16143" max="16143" width="1.85546875" style="1159" customWidth="1"/>
    <col min="16144" max="16144" width="10.28515625" style="1159" customWidth="1"/>
    <col min="16145" max="16145" width="1.85546875" style="1159" customWidth="1"/>
    <col min="16146" max="16146" width="10" style="1159" customWidth="1"/>
    <col min="16147" max="16148" width="20" style="1159" bestFit="1" customWidth="1"/>
    <col min="16149" max="16384" width="9.140625" style="1159"/>
  </cols>
  <sheetData>
    <row r="1" spans="1:20" s="8" customFormat="1" ht="12.75">
      <c r="A1" s="8" t="s">
        <v>1624</v>
      </c>
      <c r="I1" s="1158"/>
      <c r="Q1" s="1158"/>
      <c r="S1" s="922"/>
      <c r="T1" s="922"/>
    </row>
    <row r="2" spans="1:20" ht="6.75" customHeight="1"/>
    <row r="3" spans="1:20" s="1163" customFormat="1">
      <c r="A3" s="1266" t="s">
        <v>1625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266"/>
      <c r="R3" s="1266"/>
      <c r="S3" s="1162"/>
      <c r="T3" s="1162"/>
    </row>
    <row r="4" spans="1:20" s="1163" customFormat="1" ht="6" customHeight="1">
      <c r="A4" s="1164"/>
      <c r="B4" s="1164"/>
      <c r="C4" s="1164"/>
      <c r="D4" s="1164"/>
      <c r="E4" s="1164"/>
      <c r="F4" s="1164"/>
      <c r="G4" s="1164"/>
      <c r="H4" s="1164"/>
      <c r="I4" s="1164"/>
      <c r="J4" s="1164"/>
      <c r="K4" s="1164"/>
      <c r="L4" s="1164"/>
      <c r="M4" s="1164"/>
      <c r="N4" s="1164"/>
      <c r="O4" s="1164"/>
      <c r="P4" s="1164"/>
      <c r="Q4" s="1164"/>
      <c r="R4" s="1164"/>
      <c r="S4" s="1162"/>
      <c r="T4" s="1162"/>
    </row>
    <row r="5" spans="1:20" s="1163" customFormat="1" ht="12.75">
      <c r="A5" s="1267" t="s">
        <v>1626</v>
      </c>
      <c r="B5" s="1267"/>
      <c r="C5" s="1267"/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7"/>
      <c r="Q5" s="1267"/>
      <c r="R5" s="1267"/>
      <c r="S5" s="1162"/>
      <c r="T5" s="1162"/>
    </row>
    <row r="6" spans="1:20" s="1163" customFormat="1" ht="12.75">
      <c r="A6" s="1268" t="s">
        <v>1627</v>
      </c>
      <c r="B6" s="1268"/>
      <c r="C6" s="1268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8"/>
      <c r="P6" s="1268"/>
      <c r="Q6" s="1268"/>
      <c r="R6" s="1268"/>
      <c r="S6" s="1162"/>
      <c r="T6" s="1162"/>
    </row>
    <row r="7" spans="1:20" s="1163" customFormat="1" ht="6" customHeight="1">
      <c r="A7" s="1165"/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2"/>
      <c r="T7" s="1162"/>
    </row>
    <row r="8" spans="1:20" s="1163" customFormat="1">
      <c r="A8" s="1269" t="s">
        <v>1628</v>
      </c>
      <c r="B8" s="1269"/>
      <c r="C8" s="1269"/>
      <c r="D8" s="1269"/>
      <c r="E8" s="1269"/>
      <c r="F8" s="1269"/>
      <c r="G8" s="1269"/>
      <c r="H8" s="1269"/>
      <c r="I8" s="1269"/>
      <c r="J8" s="1269"/>
      <c r="K8" s="1269"/>
      <c r="L8" s="1269"/>
      <c r="M8" s="1269"/>
      <c r="N8" s="1269"/>
      <c r="O8" s="1269"/>
      <c r="P8" s="1269"/>
      <c r="Q8" s="1269"/>
      <c r="R8" s="1269"/>
      <c r="S8" s="1162"/>
      <c r="T8" s="1162"/>
    </row>
    <row r="9" spans="1:20" ht="12.75">
      <c r="A9" s="1270" t="s">
        <v>1629</v>
      </c>
      <c r="B9" s="1271"/>
      <c r="C9" s="1271"/>
      <c r="D9" s="1271"/>
      <c r="E9" s="1271"/>
      <c r="F9" s="1272"/>
      <c r="G9" s="1166" t="s">
        <v>5</v>
      </c>
      <c r="H9" s="1166" t="s">
        <v>1630</v>
      </c>
      <c r="I9" s="1276" t="s">
        <v>7</v>
      </c>
      <c r="J9" s="1277"/>
      <c r="K9" s="1278" t="s">
        <v>1631</v>
      </c>
      <c r="L9" s="1279"/>
      <c r="M9" s="1279"/>
      <c r="N9" s="1279"/>
      <c r="O9" s="1279"/>
      <c r="P9" s="1280"/>
      <c r="Q9" s="1276" t="s">
        <v>8</v>
      </c>
      <c r="R9" s="1277"/>
    </row>
    <row r="10" spans="1:20" ht="12.75">
      <c r="A10" s="1273"/>
      <c r="B10" s="1274"/>
      <c r="C10" s="1274"/>
      <c r="D10" s="1274"/>
      <c r="E10" s="1274"/>
      <c r="F10" s="1275"/>
      <c r="G10" s="1167" t="s">
        <v>6</v>
      </c>
      <c r="H10" s="1167" t="s">
        <v>1632</v>
      </c>
      <c r="I10" s="1281">
        <v>2021</v>
      </c>
      <c r="J10" s="1282"/>
      <c r="K10" s="1276" t="s">
        <v>184</v>
      </c>
      <c r="L10" s="1277"/>
      <c r="M10" s="1276" t="s">
        <v>185</v>
      </c>
      <c r="N10" s="1277"/>
      <c r="O10" s="1283">
        <v>2022</v>
      </c>
      <c r="P10" s="1284"/>
      <c r="Q10" s="1281">
        <v>2023</v>
      </c>
      <c r="R10" s="1282"/>
    </row>
    <row r="11" spans="1:20" ht="12.75">
      <c r="A11" s="1168"/>
      <c r="B11" s="1169"/>
      <c r="C11" s="1169"/>
      <c r="D11" s="1169"/>
      <c r="E11" s="1169"/>
      <c r="F11" s="1170"/>
      <c r="G11" s="1171"/>
      <c r="H11" s="1171"/>
      <c r="I11" s="1262" t="s">
        <v>10</v>
      </c>
      <c r="J11" s="1263"/>
      <c r="K11" s="1262" t="s">
        <v>10</v>
      </c>
      <c r="L11" s="1263"/>
      <c r="M11" s="1262" t="s">
        <v>9</v>
      </c>
      <c r="N11" s="1263"/>
      <c r="O11" s="1264"/>
      <c r="P11" s="1265"/>
      <c r="Q11" s="1262" t="s">
        <v>27</v>
      </c>
      <c r="R11" s="1263"/>
    </row>
    <row r="12" spans="1:20" ht="12" customHeight="1">
      <c r="A12" s="1172" t="s">
        <v>1633</v>
      </c>
      <c r="B12" s="33"/>
      <c r="C12" s="33"/>
      <c r="D12" s="33"/>
      <c r="E12" s="33"/>
      <c r="F12" s="23"/>
      <c r="G12" s="24"/>
      <c r="H12" s="24"/>
      <c r="I12" s="68"/>
      <c r="J12" s="1173"/>
      <c r="K12" s="1174"/>
      <c r="L12" s="1174"/>
      <c r="M12" s="1175"/>
      <c r="N12" s="1173"/>
      <c r="O12" s="1174"/>
      <c r="P12" s="1174"/>
      <c r="Q12" s="68"/>
      <c r="R12" s="1173"/>
    </row>
    <row r="13" spans="1:20" ht="12" customHeight="1">
      <c r="A13" s="28"/>
      <c r="B13" s="33" t="s">
        <v>1634</v>
      </c>
      <c r="C13" s="33"/>
      <c r="D13" s="33"/>
      <c r="E13" s="33"/>
      <c r="F13" s="23"/>
      <c r="G13" s="24"/>
      <c r="H13" s="24"/>
      <c r="I13" s="68" t="s">
        <v>15</v>
      </c>
      <c r="J13" s="1173">
        <v>50706423.380000003</v>
      </c>
      <c r="K13" s="68" t="s">
        <v>15</v>
      </c>
      <c r="L13" s="1173">
        <v>49668860.770000003</v>
      </c>
      <c r="M13" s="68" t="s">
        <v>15</v>
      </c>
      <c r="N13" s="1173">
        <f>P13-L13</f>
        <v>0</v>
      </c>
      <c r="O13" s="68" t="s">
        <v>15</v>
      </c>
      <c r="P13" s="1173">
        <v>49668860.770000003</v>
      </c>
      <c r="Q13" s="68" t="s">
        <v>15</v>
      </c>
      <c r="R13" s="1173">
        <v>0</v>
      </c>
    </row>
    <row r="14" spans="1:20" ht="12" customHeight="1">
      <c r="A14" s="28"/>
      <c r="B14" s="33" t="s">
        <v>1635</v>
      </c>
      <c r="C14" s="33"/>
      <c r="D14" s="33"/>
      <c r="E14" s="33"/>
      <c r="F14" s="23"/>
      <c r="G14" s="24"/>
      <c r="H14" s="24"/>
      <c r="I14" s="68"/>
      <c r="J14" s="1173"/>
      <c r="K14" s="68"/>
      <c r="L14" s="1173"/>
      <c r="M14" s="1175"/>
      <c r="N14" s="1173"/>
      <c r="O14" s="68"/>
      <c r="P14" s="1173">
        <v>0</v>
      </c>
      <c r="Q14" s="68"/>
      <c r="R14" s="1173">
        <v>0</v>
      </c>
    </row>
    <row r="15" spans="1:20" ht="10.5" customHeight="1">
      <c r="A15" s="28"/>
      <c r="B15" s="33" t="s">
        <v>1636</v>
      </c>
      <c r="C15" s="33"/>
      <c r="D15" s="33"/>
      <c r="E15" s="33"/>
      <c r="F15" s="23"/>
      <c r="G15" s="24"/>
      <c r="H15" s="24"/>
      <c r="I15" s="68"/>
      <c r="J15" s="1173">
        <v>83939335.329999998</v>
      </c>
      <c r="K15" s="68"/>
      <c r="L15" s="1173">
        <v>35206800.240000002</v>
      </c>
      <c r="M15" s="1175"/>
      <c r="N15" s="1173">
        <f>P15-L15</f>
        <v>92593092.849999994</v>
      </c>
      <c r="O15" s="68"/>
      <c r="P15" s="1176">
        <v>127799893.09</v>
      </c>
      <c r="Q15" s="411"/>
      <c r="R15" s="1176">
        <v>0</v>
      </c>
    </row>
    <row r="16" spans="1:20" ht="5.25" customHeight="1">
      <c r="A16" s="28"/>
      <c r="B16" s="33"/>
      <c r="C16" s="33"/>
      <c r="D16" s="33"/>
      <c r="E16" s="33"/>
      <c r="F16" s="23"/>
      <c r="G16" s="24"/>
      <c r="H16" s="24"/>
      <c r="I16" s="1177"/>
      <c r="J16" s="1178"/>
      <c r="K16" s="1179"/>
      <c r="L16" s="1179"/>
      <c r="M16" s="1180"/>
      <c r="N16" s="1178"/>
      <c r="O16" s="1177"/>
      <c r="P16" s="1178"/>
      <c r="Q16" s="1177"/>
      <c r="R16" s="1178"/>
    </row>
    <row r="17" spans="1:20" s="1187" customFormat="1" ht="11.25" customHeight="1">
      <c r="A17" s="22"/>
      <c r="B17" s="783"/>
      <c r="C17" s="1181" t="s">
        <v>86</v>
      </c>
      <c r="D17" s="783"/>
      <c r="E17" s="783"/>
      <c r="F17" s="1182"/>
      <c r="G17" s="1183"/>
      <c r="H17" s="1183"/>
      <c r="I17" s="1184" t="s">
        <v>15</v>
      </c>
      <c r="J17" s="1185">
        <f>SUM(J12:J16)</f>
        <v>134645758.71000001</v>
      </c>
      <c r="K17" s="1184" t="s">
        <v>15</v>
      </c>
      <c r="L17" s="1185">
        <f>SUM(L12:L16)</f>
        <v>84875661.010000005</v>
      </c>
      <c r="M17" s="1184" t="s">
        <v>15</v>
      </c>
      <c r="N17" s="1185">
        <f>SUM(N12:N16)</f>
        <v>92593092.849999994</v>
      </c>
      <c r="O17" s="1184" t="s">
        <v>15</v>
      </c>
      <c r="P17" s="1185">
        <f>SUM(P12:P16)</f>
        <v>177468753.86000001</v>
      </c>
      <c r="Q17" s="1184" t="s">
        <v>15</v>
      </c>
      <c r="R17" s="1185">
        <f>SUM(R12:R16)</f>
        <v>0</v>
      </c>
      <c r="S17" s="1186"/>
      <c r="T17" s="1186"/>
    </row>
    <row r="18" spans="1:20" ht="6.75" customHeight="1">
      <c r="A18" s="28"/>
      <c r="B18" s="33"/>
      <c r="C18" s="33"/>
      <c r="D18" s="33"/>
      <c r="E18" s="33"/>
      <c r="F18" s="23"/>
      <c r="G18" s="24"/>
      <c r="H18" s="24"/>
      <c r="I18" s="68"/>
      <c r="J18" s="1173"/>
      <c r="K18" s="1174"/>
      <c r="L18" s="1174"/>
      <c r="M18" s="1175"/>
      <c r="N18" s="1173"/>
      <c r="O18" s="1174"/>
      <c r="P18" s="1174"/>
      <c r="Q18" s="68"/>
      <c r="R18" s="1173"/>
    </row>
    <row r="19" spans="1:20" ht="11.25" customHeight="1">
      <c r="A19" s="1172" t="s">
        <v>1637</v>
      </c>
      <c r="B19" s="33"/>
      <c r="C19" s="33"/>
      <c r="D19" s="33"/>
      <c r="E19" s="33"/>
      <c r="F19" s="23"/>
      <c r="G19" s="24"/>
      <c r="H19" s="24"/>
      <c r="I19" s="68"/>
      <c r="J19" s="1173"/>
      <c r="K19" s="1174"/>
      <c r="L19" s="1174"/>
      <c r="M19" s="1175"/>
      <c r="N19" s="1173"/>
      <c r="O19" s="1174"/>
      <c r="P19" s="1174"/>
      <c r="Q19" s="68"/>
      <c r="R19" s="1173"/>
    </row>
    <row r="20" spans="1:20" ht="10.5" customHeight="1">
      <c r="A20" s="28"/>
      <c r="B20" s="1188" t="s">
        <v>1638</v>
      </c>
      <c r="C20" s="783"/>
      <c r="D20" s="33"/>
      <c r="E20" s="33"/>
      <c r="F20" s="23"/>
      <c r="G20" s="24"/>
      <c r="H20" s="24"/>
      <c r="I20" s="68"/>
      <c r="J20" s="1173"/>
      <c r="K20" s="1174"/>
      <c r="L20" s="1174"/>
      <c r="M20" s="1175"/>
      <c r="N20" s="1173"/>
      <c r="O20" s="1174"/>
      <c r="P20" s="1174"/>
      <c r="Q20" s="68"/>
      <c r="R20" s="1173"/>
    </row>
    <row r="21" spans="1:20" ht="12" customHeight="1">
      <c r="A21" s="28"/>
      <c r="B21" s="33"/>
      <c r="C21" s="1189" t="s">
        <v>1639</v>
      </c>
      <c r="D21" s="33"/>
      <c r="E21" s="33"/>
      <c r="F21" s="23"/>
      <c r="G21" s="24"/>
      <c r="H21" s="24"/>
      <c r="I21" s="68"/>
      <c r="J21" s="1173"/>
      <c r="K21" s="1174"/>
      <c r="L21" s="1174"/>
      <c r="M21" s="1175"/>
      <c r="N21" s="1173"/>
      <c r="O21" s="1174"/>
      <c r="P21" s="1174"/>
      <c r="Q21" s="68"/>
      <c r="R21" s="1173"/>
    </row>
    <row r="22" spans="1:20" ht="12" customHeight="1">
      <c r="A22" s="28"/>
      <c r="B22" s="33"/>
      <c r="C22" s="33"/>
      <c r="D22" s="33" t="s">
        <v>1640</v>
      </c>
      <c r="E22" s="33"/>
      <c r="F22" s="23"/>
      <c r="G22" s="29" t="s">
        <v>1641</v>
      </c>
      <c r="H22" s="29" t="s">
        <v>1642</v>
      </c>
      <c r="I22" s="68" t="s">
        <v>15</v>
      </c>
      <c r="J22" s="1173">
        <v>23818.7</v>
      </c>
      <c r="K22" s="68" t="s">
        <v>15</v>
      </c>
      <c r="L22" s="1173">
        <v>11765</v>
      </c>
      <c r="M22" s="68" t="s">
        <v>15</v>
      </c>
      <c r="N22" s="1173">
        <f t="shared" ref="N22:N31" si="0">P22-L22</f>
        <v>38235</v>
      </c>
      <c r="O22" s="68" t="s">
        <v>15</v>
      </c>
      <c r="P22" s="1173">
        <v>50000</v>
      </c>
      <c r="Q22" s="68" t="s">
        <v>15</v>
      </c>
      <c r="R22" s="1173">
        <v>50000</v>
      </c>
    </row>
    <row r="23" spans="1:20" ht="12" customHeight="1">
      <c r="A23" s="28"/>
      <c r="B23" s="33"/>
      <c r="C23" s="33"/>
      <c r="D23" s="33" t="s">
        <v>1643</v>
      </c>
      <c r="E23" s="33"/>
      <c r="F23" s="23"/>
      <c r="G23" s="29" t="s">
        <v>1644</v>
      </c>
      <c r="H23" s="29" t="s">
        <v>1645</v>
      </c>
      <c r="I23" s="68"/>
      <c r="J23" s="1173">
        <v>28529724.870000001</v>
      </c>
      <c r="K23" s="1175"/>
      <c r="L23" s="1173">
        <v>27456124.140000001</v>
      </c>
      <c r="M23" s="1175"/>
      <c r="N23" s="1173">
        <f t="shared" si="0"/>
        <v>7543875.8599999994</v>
      </c>
      <c r="O23" s="68"/>
      <c r="P23" s="1173">
        <v>35000000</v>
      </c>
      <c r="Q23" s="68"/>
      <c r="R23" s="1173">
        <v>37500000</v>
      </c>
      <c r="S23" s="1190" t="e">
        <f>R23+R24+R25+R31+R36+R38+R42+R44+R45+R46+R49+R58+#REF!+R68</f>
        <v>#REF!</v>
      </c>
    </row>
    <row r="24" spans="1:20" ht="12" customHeight="1">
      <c r="A24" s="28"/>
      <c r="B24" s="33"/>
      <c r="C24" s="33"/>
      <c r="D24" s="33" t="s">
        <v>1646</v>
      </c>
      <c r="E24" s="33"/>
      <c r="F24" s="23"/>
      <c r="G24" s="29" t="s">
        <v>1647</v>
      </c>
      <c r="H24" s="29" t="s">
        <v>1645</v>
      </c>
      <c r="I24" s="68"/>
      <c r="J24" s="1173">
        <v>1856512.91</v>
      </c>
      <c r="K24" s="1175"/>
      <c r="L24" s="1173">
        <v>1662439.24</v>
      </c>
      <c r="M24" s="1175"/>
      <c r="N24" s="1173">
        <f t="shared" si="0"/>
        <v>337560.76</v>
      </c>
      <c r="O24" s="68"/>
      <c r="P24" s="1173">
        <v>2000000</v>
      </c>
      <c r="Q24" s="68"/>
      <c r="R24" s="1173">
        <v>2500000</v>
      </c>
      <c r="S24" s="1190" t="e">
        <f>S23*0.05</f>
        <v>#REF!</v>
      </c>
    </row>
    <row r="25" spans="1:20" ht="12" customHeight="1">
      <c r="A25" s="28"/>
      <c r="B25" s="33"/>
      <c r="C25" s="33"/>
      <c r="D25" s="33" t="s">
        <v>1648</v>
      </c>
      <c r="E25" s="33"/>
      <c r="F25" s="23"/>
      <c r="G25" s="29" t="s">
        <v>1649</v>
      </c>
      <c r="H25" s="29" t="s">
        <v>1645</v>
      </c>
      <c r="I25" s="68"/>
      <c r="J25" s="1173">
        <v>9719413.4000000004</v>
      </c>
      <c r="K25" s="1175"/>
      <c r="L25" s="1173">
        <v>9226289.7699999996</v>
      </c>
      <c r="M25" s="1175"/>
      <c r="N25" s="1173">
        <f t="shared" si="0"/>
        <v>5773710.2300000004</v>
      </c>
      <c r="O25" s="68"/>
      <c r="P25" s="1173">
        <v>15000000</v>
      </c>
      <c r="Q25" s="68"/>
      <c r="R25" s="1173">
        <v>16000000</v>
      </c>
    </row>
    <row r="26" spans="1:20" ht="12" customHeight="1">
      <c r="A26" s="28"/>
      <c r="B26" s="33"/>
      <c r="C26" s="33"/>
      <c r="D26" s="33" t="s">
        <v>1650</v>
      </c>
      <c r="E26" s="33"/>
      <c r="F26" s="23"/>
      <c r="G26" s="29" t="s">
        <v>1651</v>
      </c>
      <c r="H26" s="1191" t="s">
        <v>1642</v>
      </c>
      <c r="I26" s="1175"/>
      <c r="J26" s="1173">
        <v>0</v>
      </c>
      <c r="K26" s="1175"/>
      <c r="L26" s="1173">
        <v>0</v>
      </c>
      <c r="M26" s="1175"/>
      <c r="N26" s="1173">
        <f t="shared" si="0"/>
        <v>0</v>
      </c>
      <c r="O26" s="1174"/>
      <c r="P26" s="1173">
        <v>0</v>
      </c>
      <c r="Q26" s="1175"/>
      <c r="R26" s="1173">
        <v>0</v>
      </c>
      <c r="T26" s="1161" t="s">
        <v>11</v>
      </c>
    </row>
    <row r="27" spans="1:20" ht="12" customHeight="1">
      <c r="A27" s="28"/>
      <c r="B27" s="33"/>
      <c r="C27" s="33"/>
      <c r="D27" s="33" t="s">
        <v>1652</v>
      </c>
      <c r="E27" s="33"/>
      <c r="F27" s="23"/>
      <c r="G27" s="29" t="s">
        <v>1653</v>
      </c>
      <c r="H27" s="29" t="s">
        <v>1642</v>
      </c>
      <c r="I27" s="68"/>
      <c r="J27" s="1173">
        <v>0</v>
      </c>
      <c r="K27" s="1175"/>
      <c r="L27" s="1173"/>
      <c r="M27" s="1175"/>
      <c r="N27" s="1173">
        <f t="shared" si="0"/>
        <v>0</v>
      </c>
      <c r="O27" s="68"/>
      <c r="P27" s="1173">
        <v>0</v>
      </c>
      <c r="Q27" s="68"/>
      <c r="R27" s="1173">
        <v>0</v>
      </c>
    </row>
    <row r="28" spans="1:20" ht="12" customHeight="1">
      <c r="A28" s="28"/>
      <c r="B28" s="33"/>
      <c r="C28" s="33"/>
      <c r="D28" s="33" t="s">
        <v>1654</v>
      </c>
      <c r="F28" s="23"/>
      <c r="G28" s="29" t="s">
        <v>1655</v>
      </c>
      <c r="H28" s="29" t="s">
        <v>1645</v>
      </c>
      <c r="I28" s="68"/>
      <c r="J28" s="1173">
        <v>790706.18</v>
      </c>
      <c r="K28" s="1175"/>
      <c r="L28" s="1173">
        <v>574908.91</v>
      </c>
      <c r="M28" s="1175"/>
      <c r="N28" s="1173">
        <f>P28-L28</f>
        <v>125091.08999999997</v>
      </c>
      <c r="O28" s="68"/>
      <c r="P28" s="1173">
        <v>700000</v>
      </c>
      <c r="Q28" s="68"/>
      <c r="R28" s="1173">
        <v>700000</v>
      </c>
    </row>
    <row r="29" spans="1:20" ht="12" customHeight="1">
      <c r="A29" s="28"/>
      <c r="B29" s="33"/>
      <c r="C29" s="33"/>
      <c r="D29" s="33" t="s">
        <v>1656</v>
      </c>
      <c r="F29" s="23"/>
      <c r="G29" s="29" t="s">
        <v>1657</v>
      </c>
      <c r="H29" s="29" t="s">
        <v>1642</v>
      </c>
      <c r="I29" s="68"/>
      <c r="J29" s="1173">
        <v>718724.39</v>
      </c>
      <c r="K29" s="1175"/>
      <c r="L29" s="1173">
        <v>0</v>
      </c>
      <c r="M29" s="1175"/>
      <c r="N29" s="1173">
        <f>P29-L29</f>
        <v>718725</v>
      </c>
      <c r="O29" s="68"/>
      <c r="P29" s="1173">
        <v>718725</v>
      </c>
      <c r="Q29" s="68"/>
      <c r="R29" s="1173">
        <v>0</v>
      </c>
    </row>
    <row r="30" spans="1:20" ht="12" customHeight="1">
      <c r="A30" s="28"/>
      <c r="B30" s="33"/>
      <c r="C30" s="33"/>
      <c r="D30" s="33" t="s">
        <v>1658</v>
      </c>
      <c r="F30" s="23"/>
      <c r="G30" s="29" t="s">
        <v>1659</v>
      </c>
      <c r="H30" s="29" t="s">
        <v>1642</v>
      </c>
      <c r="I30" s="68"/>
      <c r="J30" s="1173">
        <v>88416.99</v>
      </c>
      <c r="K30" s="1175"/>
      <c r="L30" s="1173">
        <v>0</v>
      </c>
      <c r="M30" s="1175"/>
      <c r="N30" s="1173">
        <f>P30-L30</f>
        <v>88417</v>
      </c>
      <c r="O30" s="68"/>
      <c r="P30" s="1173">
        <v>88417</v>
      </c>
      <c r="Q30" s="68"/>
      <c r="R30" s="1173">
        <v>0</v>
      </c>
    </row>
    <row r="31" spans="1:20" ht="12" customHeight="1">
      <c r="A31" s="28"/>
      <c r="B31" s="33"/>
      <c r="C31" s="33"/>
      <c r="D31" s="33" t="s">
        <v>1660</v>
      </c>
      <c r="F31" s="23"/>
      <c r="G31" s="29" t="s">
        <v>1661</v>
      </c>
      <c r="H31" s="29" t="s">
        <v>1642</v>
      </c>
      <c r="I31" s="68"/>
      <c r="J31" s="1173">
        <v>34650</v>
      </c>
      <c r="K31" s="1175"/>
      <c r="L31" s="1173">
        <v>50100</v>
      </c>
      <c r="M31" s="1175"/>
      <c r="N31" s="1173">
        <f t="shared" si="0"/>
        <v>-32950</v>
      </c>
      <c r="O31" s="68"/>
      <c r="P31" s="1176">
        <v>17150</v>
      </c>
      <c r="Q31" s="411"/>
      <c r="R31" s="1176">
        <v>0</v>
      </c>
    </row>
    <row r="32" spans="1:20" s="1187" customFormat="1" ht="12" customHeight="1">
      <c r="A32" s="22"/>
      <c r="B32" s="783"/>
      <c r="C32" s="783"/>
      <c r="D32" s="1189" t="s">
        <v>1662</v>
      </c>
      <c r="E32" s="783"/>
      <c r="F32" s="1182"/>
      <c r="G32" s="1192"/>
      <c r="H32" s="1192"/>
      <c r="I32" s="1193"/>
      <c r="J32" s="1194">
        <f>SUM(J22:J31)</f>
        <v>41761967.440000005</v>
      </c>
      <c r="K32" s="1193"/>
      <c r="L32" s="1194">
        <f>SUM(L22:L31)</f>
        <v>38981627.059999995</v>
      </c>
      <c r="M32" s="1193"/>
      <c r="N32" s="1194">
        <f>SUM(N22:N31)</f>
        <v>14592664.939999999</v>
      </c>
      <c r="O32" s="1193"/>
      <c r="P32" s="1194">
        <f>SUM(P22:P31)</f>
        <v>53574292</v>
      </c>
      <c r="Q32" s="1193"/>
      <c r="R32" s="1195">
        <f>SUM(R22:R31)</f>
        <v>56750000</v>
      </c>
      <c r="S32" s="1196"/>
      <c r="T32" s="1186"/>
    </row>
    <row r="33" spans="1:20" ht="11.25" customHeight="1">
      <c r="A33" s="28"/>
      <c r="B33" s="33"/>
      <c r="C33" s="1189" t="s">
        <v>1663</v>
      </c>
      <c r="D33" s="33"/>
      <c r="E33" s="33"/>
      <c r="F33" s="23"/>
      <c r="G33" s="29"/>
      <c r="H33" s="29"/>
      <c r="I33" s="68"/>
      <c r="J33" s="1173"/>
      <c r="K33" s="1174"/>
      <c r="L33" s="1174"/>
      <c r="M33" s="1175"/>
      <c r="N33" s="1173"/>
      <c r="O33" s="1174"/>
      <c r="P33" s="1174"/>
      <c r="Q33" s="68"/>
      <c r="R33" s="1197"/>
    </row>
    <row r="34" spans="1:20" ht="11.25" customHeight="1">
      <c r="A34" s="28"/>
      <c r="B34" s="33"/>
      <c r="C34" s="33"/>
      <c r="D34" s="33" t="s">
        <v>1664</v>
      </c>
      <c r="E34" s="33"/>
      <c r="F34" s="23"/>
      <c r="G34" s="29"/>
      <c r="H34" s="29"/>
      <c r="I34" s="68"/>
      <c r="J34" s="1173"/>
      <c r="K34" s="1174"/>
      <c r="L34" s="1174"/>
      <c r="M34" s="1175"/>
      <c r="N34" s="1173"/>
      <c r="O34" s="1174"/>
      <c r="P34" s="1174"/>
      <c r="Q34" s="68"/>
      <c r="R34" s="1197"/>
    </row>
    <row r="35" spans="1:20" ht="12" customHeight="1">
      <c r="A35" s="28"/>
      <c r="B35" s="33"/>
      <c r="C35" s="33"/>
      <c r="D35" s="33"/>
      <c r="E35" s="33" t="s">
        <v>1665</v>
      </c>
      <c r="F35" s="23"/>
      <c r="G35" s="29" t="s">
        <v>1666</v>
      </c>
      <c r="H35" s="29" t="s">
        <v>1642</v>
      </c>
      <c r="I35" s="68" t="s">
        <v>15</v>
      </c>
      <c r="J35" s="1173">
        <v>157588</v>
      </c>
      <c r="K35" s="68" t="s">
        <v>15</v>
      </c>
      <c r="L35" s="1173">
        <v>129800</v>
      </c>
      <c r="M35" s="68" t="s">
        <v>15</v>
      </c>
      <c r="N35" s="1173">
        <f>P35-L35</f>
        <v>200200</v>
      </c>
      <c r="O35" s="68" t="s">
        <v>15</v>
      </c>
      <c r="P35" s="1173">
        <v>330000</v>
      </c>
      <c r="Q35" s="68" t="s">
        <v>15</v>
      </c>
      <c r="R35" s="1173">
        <v>350000</v>
      </c>
    </row>
    <row r="36" spans="1:20" ht="12" customHeight="1">
      <c r="A36" s="28"/>
      <c r="B36" s="33"/>
      <c r="C36" s="33"/>
      <c r="D36" s="33"/>
      <c r="E36" s="33" t="s">
        <v>1667</v>
      </c>
      <c r="F36" s="23"/>
      <c r="G36" s="29" t="s">
        <v>1668</v>
      </c>
      <c r="H36" s="29" t="s">
        <v>1645</v>
      </c>
      <c r="I36" s="68"/>
      <c r="J36" s="1173">
        <v>7860108.2699999996</v>
      </c>
      <c r="K36" s="1175"/>
      <c r="L36" s="1173">
        <v>10804294.970000001</v>
      </c>
      <c r="M36" s="1175"/>
      <c r="N36" s="1173">
        <f>P36-L36</f>
        <v>5795705.0299999993</v>
      </c>
      <c r="O36" s="68"/>
      <c r="P36" s="1173">
        <v>16600000</v>
      </c>
      <c r="Q36" s="68"/>
      <c r="R36" s="1173">
        <v>17200000</v>
      </c>
    </row>
    <row r="37" spans="1:20" ht="12" customHeight="1">
      <c r="A37" s="28"/>
      <c r="B37" s="33"/>
      <c r="C37" s="33"/>
      <c r="D37" s="1198"/>
      <c r="E37" s="33" t="s">
        <v>1669</v>
      </c>
      <c r="F37" s="23"/>
      <c r="G37" s="29" t="s">
        <v>1670</v>
      </c>
      <c r="H37" s="29" t="s">
        <v>1642</v>
      </c>
      <c r="I37" s="68"/>
      <c r="J37" s="1173">
        <v>782310</v>
      </c>
      <c r="K37" s="1175"/>
      <c r="L37" s="1173">
        <v>0</v>
      </c>
      <c r="M37" s="1175"/>
      <c r="N37" s="1173">
        <f>P37-L37</f>
        <v>1500000</v>
      </c>
      <c r="O37" s="68"/>
      <c r="P37" s="1173">
        <v>1500000</v>
      </c>
      <c r="Q37" s="68"/>
      <c r="R37" s="1173">
        <v>2000000</v>
      </c>
    </row>
    <row r="38" spans="1:20" ht="12" customHeight="1">
      <c r="A38" s="28"/>
      <c r="B38" s="33"/>
      <c r="C38" s="33"/>
      <c r="D38" s="33"/>
      <c r="E38" s="1199" t="s">
        <v>1671</v>
      </c>
      <c r="F38" s="50"/>
      <c r="G38" s="29" t="s">
        <v>1672</v>
      </c>
      <c r="H38" s="29" t="s">
        <v>1645</v>
      </c>
      <c r="I38" s="68"/>
      <c r="J38" s="1173">
        <v>1974073</v>
      </c>
      <c r="K38" s="68"/>
      <c r="L38" s="1173">
        <v>777597</v>
      </c>
      <c r="M38" s="68"/>
      <c r="N38" s="1173">
        <f>P38-L38</f>
        <v>1722403</v>
      </c>
      <c r="O38" s="68"/>
      <c r="P38" s="1173">
        <v>2500000</v>
      </c>
      <c r="Q38" s="68"/>
      <c r="R38" s="1173">
        <v>3000000</v>
      </c>
    </row>
    <row r="39" spans="1:20" ht="12" customHeight="1">
      <c r="A39" s="28"/>
      <c r="B39" s="33"/>
      <c r="C39" s="33"/>
      <c r="D39" s="33"/>
      <c r="E39" s="33" t="s">
        <v>1673</v>
      </c>
      <c r="F39" s="23"/>
      <c r="G39" s="29" t="s">
        <v>1674</v>
      </c>
      <c r="H39" s="29" t="s">
        <v>1642</v>
      </c>
      <c r="I39" s="68"/>
      <c r="J39" s="1173">
        <v>0</v>
      </c>
      <c r="K39" s="1175"/>
      <c r="L39" s="1173">
        <v>0</v>
      </c>
      <c r="M39" s="1175"/>
      <c r="N39" s="1173">
        <f>P39-L39</f>
        <v>500000</v>
      </c>
      <c r="O39" s="68"/>
      <c r="P39" s="1173">
        <v>500000</v>
      </c>
      <c r="Q39" s="68"/>
      <c r="R39" s="1173">
        <v>500000</v>
      </c>
    </row>
    <row r="40" spans="1:20" ht="12" customHeight="1">
      <c r="A40" s="28"/>
      <c r="B40" s="33"/>
      <c r="C40" s="33"/>
      <c r="D40" s="33" t="s">
        <v>1675</v>
      </c>
      <c r="E40" s="33"/>
      <c r="F40" s="23"/>
      <c r="G40" s="29"/>
      <c r="H40" s="29"/>
      <c r="I40" s="68"/>
      <c r="J40" s="1173">
        <v>0</v>
      </c>
      <c r="K40" s="1175"/>
      <c r="L40" s="1173"/>
      <c r="M40" s="1175"/>
      <c r="N40" s="1173"/>
      <c r="O40" s="68"/>
      <c r="P40" s="1197"/>
      <c r="Q40" s="68"/>
      <c r="R40" s="1197"/>
    </row>
    <row r="41" spans="1:20" ht="12" customHeight="1">
      <c r="A41" s="28"/>
      <c r="B41" s="33"/>
      <c r="C41" s="33"/>
      <c r="D41" s="1198"/>
      <c r="E41" s="33" t="s">
        <v>1676</v>
      </c>
      <c r="F41" s="23"/>
      <c r="G41" s="29" t="s">
        <v>1677</v>
      </c>
      <c r="H41" s="29" t="s">
        <v>1642</v>
      </c>
      <c r="I41" s="68"/>
      <c r="J41" s="1173">
        <v>0</v>
      </c>
      <c r="K41" s="1175"/>
      <c r="L41" s="1173">
        <v>0</v>
      </c>
      <c r="M41" s="1175"/>
      <c r="N41" s="1173">
        <f t="shared" ref="N41:N53" si="1">P41-L41</f>
        <v>0</v>
      </c>
      <c r="O41" s="68"/>
      <c r="P41" s="1197">
        <v>0</v>
      </c>
      <c r="Q41" s="68"/>
      <c r="R41" s="1197">
        <v>0</v>
      </c>
    </row>
    <row r="42" spans="1:20" ht="12" customHeight="1">
      <c r="A42" s="28"/>
      <c r="B42" s="33"/>
      <c r="C42" s="33"/>
      <c r="D42" s="33"/>
      <c r="E42" s="33" t="s">
        <v>1678</v>
      </c>
      <c r="F42" s="23"/>
      <c r="G42" s="29" t="s">
        <v>1679</v>
      </c>
      <c r="H42" s="29" t="s">
        <v>1645</v>
      </c>
      <c r="I42" s="68"/>
      <c r="J42" s="1173">
        <v>3845472.28</v>
      </c>
      <c r="K42" s="1175"/>
      <c r="L42" s="1173">
        <v>1875444.94</v>
      </c>
      <c r="M42" s="1175"/>
      <c r="N42" s="1173">
        <f t="shared" si="1"/>
        <v>3124555.06</v>
      </c>
      <c r="O42" s="68"/>
      <c r="P42" s="1173">
        <v>5000000</v>
      </c>
      <c r="Q42" s="68"/>
      <c r="R42" s="1173">
        <v>4482000</v>
      </c>
    </row>
    <row r="43" spans="1:20" ht="12" customHeight="1">
      <c r="A43" s="28"/>
      <c r="B43" s="33"/>
      <c r="C43" s="33"/>
      <c r="D43" s="33"/>
      <c r="E43" s="33" t="s">
        <v>1680</v>
      </c>
      <c r="F43" s="23"/>
      <c r="G43" s="29" t="s">
        <v>1681</v>
      </c>
      <c r="H43" s="29" t="s">
        <v>1642</v>
      </c>
      <c r="I43" s="68"/>
      <c r="J43" s="1173">
        <v>270502</v>
      </c>
      <c r="K43" s="68"/>
      <c r="L43" s="1173">
        <v>235450</v>
      </c>
      <c r="M43" s="68"/>
      <c r="N43" s="1173">
        <f t="shared" si="1"/>
        <v>117550</v>
      </c>
      <c r="O43" s="68"/>
      <c r="P43" s="1173">
        <v>353000</v>
      </c>
      <c r="Q43" s="68"/>
      <c r="R43" s="1173">
        <v>370000</v>
      </c>
    </row>
    <row r="44" spans="1:20" ht="12" customHeight="1">
      <c r="A44" s="28"/>
      <c r="B44" s="33"/>
      <c r="C44" s="33"/>
      <c r="D44" s="33"/>
      <c r="E44" s="33" t="s">
        <v>1682</v>
      </c>
      <c r="F44" s="23"/>
      <c r="G44" s="29" t="s">
        <v>1683</v>
      </c>
      <c r="H44" s="29" t="s">
        <v>1645</v>
      </c>
      <c r="I44" s="68"/>
      <c r="J44" s="1173">
        <v>642310.65</v>
      </c>
      <c r="K44" s="1175"/>
      <c r="L44" s="1173">
        <v>423521.25</v>
      </c>
      <c r="M44" s="1175"/>
      <c r="N44" s="1173">
        <f t="shared" si="1"/>
        <v>376478.75</v>
      </c>
      <c r="O44" s="68"/>
      <c r="P44" s="1173">
        <v>800000</v>
      </c>
      <c r="Q44" s="68"/>
      <c r="R44" s="1173">
        <v>1000000</v>
      </c>
    </row>
    <row r="45" spans="1:20" ht="12" customHeight="1">
      <c r="A45" s="28"/>
      <c r="B45" s="33"/>
      <c r="C45" s="33"/>
      <c r="D45" s="33"/>
      <c r="E45" s="33" t="s">
        <v>1684</v>
      </c>
      <c r="F45" s="23"/>
      <c r="G45" s="29" t="s">
        <v>1685</v>
      </c>
      <c r="H45" s="29" t="s">
        <v>1645</v>
      </c>
      <c r="I45" s="68"/>
      <c r="J45" s="1173">
        <v>2163691.41</v>
      </c>
      <c r="K45" s="1175"/>
      <c r="L45" s="1173">
        <v>1572450.23</v>
      </c>
      <c r="M45" s="1175"/>
      <c r="N45" s="1173">
        <f t="shared" si="1"/>
        <v>1427549.77</v>
      </c>
      <c r="O45" s="68"/>
      <c r="P45" s="1173">
        <v>3000000</v>
      </c>
      <c r="Q45" s="68"/>
      <c r="R45" s="1173">
        <v>4000000</v>
      </c>
    </row>
    <row r="46" spans="1:20" ht="12" customHeight="1">
      <c r="A46" s="28"/>
      <c r="B46" s="33"/>
      <c r="C46" s="33"/>
      <c r="D46" s="33"/>
      <c r="E46" s="33" t="s">
        <v>1686</v>
      </c>
      <c r="F46" s="23"/>
      <c r="G46" s="29" t="s">
        <v>1687</v>
      </c>
      <c r="H46" s="29" t="s">
        <v>1645</v>
      </c>
      <c r="I46" s="68"/>
      <c r="J46" s="1173">
        <v>2439538</v>
      </c>
      <c r="K46" s="1175"/>
      <c r="L46" s="1173">
        <v>2096706</v>
      </c>
      <c r="M46" s="1175"/>
      <c r="N46" s="1173">
        <f t="shared" si="1"/>
        <v>1403294</v>
      </c>
      <c r="O46" s="68"/>
      <c r="P46" s="1173">
        <v>3500000</v>
      </c>
      <c r="Q46" s="68"/>
      <c r="R46" s="1173">
        <v>5000000</v>
      </c>
    </row>
    <row r="47" spans="1:20" s="1203" customFormat="1" ht="12" customHeight="1">
      <c r="A47" s="49"/>
      <c r="B47" s="1199"/>
      <c r="C47" s="1199"/>
      <c r="D47" s="1199"/>
      <c r="E47" s="1199" t="s">
        <v>1688</v>
      </c>
      <c r="F47" s="50"/>
      <c r="G47" s="48" t="s">
        <v>1689</v>
      </c>
      <c r="H47" s="48" t="s">
        <v>1642</v>
      </c>
      <c r="I47" s="1200"/>
      <c r="J47" s="1173">
        <v>1660112.65</v>
      </c>
      <c r="K47" s="1201"/>
      <c r="L47" s="1173">
        <v>1985552.52</v>
      </c>
      <c r="M47" s="1201"/>
      <c r="N47" s="1197">
        <f t="shared" si="1"/>
        <v>-185552.52000000002</v>
      </c>
      <c r="O47" s="1200"/>
      <c r="P47" s="1173">
        <v>1800000</v>
      </c>
      <c r="Q47" s="1200"/>
      <c r="R47" s="1173">
        <v>3200000</v>
      </c>
      <c r="S47" s="1202"/>
      <c r="T47" s="1202"/>
    </row>
    <row r="48" spans="1:20" ht="12" customHeight="1">
      <c r="A48" s="28"/>
      <c r="B48" s="33"/>
      <c r="C48" s="33"/>
      <c r="D48" s="1198"/>
      <c r="E48" s="33" t="s">
        <v>1690</v>
      </c>
      <c r="F48" s="23"/>
      <c r="G48" s="29" t="s">
        <v>1691</v>
      </c>
      <c r="H48" s="29" t="s">
        <v>1642</v>
      </c>
      <c r="I48" s="68"/>
      <c r="J48" s="1173">
        <v>2156465.17</v>
      </c>
      <c r="K48" s="1175"/>
      <c r="L48" s="1173">
        <v>849877.44</v>
      </c>
      <c r="M48" s="1175"/>
      <c r="N48" s="1173">
        <f t="shared" si="1"/>
        <v>-49877.439999999944</v>
      </c>
      <c r="O48" s="68"/>
      <c r="P48" s="1173">
        <v>800000</v>
      </c>
      <c r="Q48" s="68"/>
      <c r="R48" s="1173">
        <v>2010000</v>
      </c>
    </row>
    <row r="49" spans="1:20" ht="12" customHeight="1">
      <c r="A49" s="28"/>
      <c r="B49" s="33"/>
      <c r="C49" s="33"/>
      <c r="D49" s="1198"/>
      <c r="E49" s="33" t="s">
        <v>1692</v>
      </c>
      <c r="F49" s="23"/>
      <c r="G49" s="29" t="s">
        <v>1693</v>
      </c>
      <c r="H49" s="29" t="s">
        <v>1645</v>
      </c>
      <c r="I49" s="68"/>
      <c r="J49" s="1173">
        <v>1030435</v>
      </c>
      <c r="K49" s="1175"/>
      <c r="L49" s="1173">
        <v>369180</v>
      </c>
      <c r="M49" s="1175"/>
      <c r="N49" s="1173">
        <f>P49-L49</f>
        <v>430820</v>
      </c>
      <c r="O49" s="68"/>
      <c r="P49" s="1173">
        <v>800000</v>
      </c>
      <c r="Q49" s="68"/>
      <c r="R49" s="1173">
        <v>800000</v>
      </c>
    </row>
    <row r="50" spans="1:20" ht="12" customHeight="1">
      <c r="A50" s="28"/>
      <c r="B50" s="33"/>
      <c r="C50" s="33"/>
      <c r="D50" s="33"/>
      <c r="E50" s="33" t="s">
        <v>1694</v>
      </c>
      <c r="F50" s="23"/>
      <c r="G50" s="29" t="s">
        <v>1695</v>
      </c>
      <c r="H50" s="29" t="s">
        <v>1642</v>
      </c>
      <c r="I50" s="68"/>
      <c r="J50" s="1173">
        <v>397290</v>
      </c>
      <c r="K50" s="1175"/>
      <c r="L50" s="1173">
        <v>166420</v>
      </c>
      <c r="M50" s="1175"/>
      <c r="N50" s="1173">
        <f>P50-L50</f>
        <v>433580</v>
      </c>
      <c r="O50" s="68"/>
      <c r="P50" s="1173">
        <v>600000</v>
      </c>
      <c r="Q50" s="68"/>
      <c r="R50" s="1173">
        <v>1000000</v>
      </c>
    </row>
    <row r="51" spans="1:20" ht="12" customHeight="1">
      <c r="A51" s="28"/>
      <c r="B51" s="33"/>
      <c r="C51" s="33"/>
      <c r="D51" s="33"/>
      <c r="E51" s="33" t="s">
        <v>1696</v>
      </c>
      <c r="F51" s="23"/>
      <c r="G51" s="29" t="s">
        <v>1697</v>
      </c>
      <c r="H51" s="29" t="s">
        <v>1642</v>
      </c>
      <c r="I51" s="68"/>
      <c r="J51" s="1173">
        <v>173890</v>
      </c>
      <c r="K51" s="1175"/>
      <c r="L51" s="1173">
        <v>99050</v>
      </c>
      <c r="M51" s="1175"/>
      <c r="N51" s="1173">
        <f t="shared" si="1"/>
        <v>-49050</v>
      </c>
      <c r="O51" s="68"/>
      <c r="P51" s="1173">
        <v>50000</v>
      </c>
      <c r="Q51" s="68"/>
      <c r="R51" s="1173">
        <v>200000</v>
      </c>
    </row>
    <row r="52" spans="1:20" ht="12" customHeight="1">
      <c r="A52" s="28"/>
      <c r="B52" s="33"/>
      <c r="C52" s="33"/>
      <c r="D52" s="33"/>
      <c r="E52" s="33" t="s">
        <v>1698</v>
      </c>
      <c r="F52" s="23"/>
      <c r="G52" s="29" t="s">
        <v>1699</v>
      </c>
      <c r="H52" s="29" t="s">
        <v>1642</v>
      </c>
      <c r="I52" s="68"/>
      <c r="J52" s="1173">
        <v>269078.81</v>
      </c>
      <c r="K52" s="1175"/>
      <c r="L52" s="1173">
        <v>735441.31</v>
      </c>
      <c r="M52" s="1175"/>
      <c r="N52" s="1173">
        <f t="shared" si="1"/>
        <v>-235441.31000000006</v>
      </c>
      <c r="O52" s="68"/>
      <c r="P52" s="1173">
        <v>500000</v>
      </c>
      <c r="Q52" s="68"/>
      <c r="R52" s="1173">
        <v>800000</v>
      </c>
    </row>
    <row r="53" spans="1:20" ht="12" customHeight="1">
      <c r="A53" s="28"/>
      <c r="B53" s="33"/>
      <c r="C53" s="33"/>
      <c r="D53" s="33"/>
      <c r="E53" s="33" t="s">
        <v>1700</v>
      </c>
      <c r="F53" s="23"/>
      <c r="G53" s="29" t="s">
        <v>1701</v>
      </c>
      <c r="H53" s="29" t="s">
        <v>1642</v>
      </c>
      <c r="I53" s="68"/>
      <c r="J53" s="1173">
        <v>3584151</v>
      </c>
      <c r="K53" s="1174"/>
      <c r="L53" s="1173">
        <v>70800</v>
      </c>
      <c r="M53" s="1175"/>
      <c r="N53" s="1173">
        <f t="shared" si="1"/>
        <v>739200</v>
      </c>
      <c r="O53" s="68"/>
      <c r="P53" s="1173">
        <v>810000</v>
      </c>
      <c r="Q53" s="68"/>
      <c r="R53" s="1173">
        <v>1160000</v>
      </c>
    </row>
    <row r="54" spans="1:20" ht="12" customHeight="1">
      <c r="A54" s="28"/>
      <c r="B54" s="33"/>
      <c r="C54" s="33"/>
      <c r="D54" s="33"/>
      <c r="E54" s="33" t="s">
        <v>1702</v>
      </c>
      <c r="F54" s="23"/>
      <c r="G54" s="29" t="s">
        <v>1703</v>
      </c>
      <c r="H54" s="29" t="s">
        <v>1642</v>
      </c>
      <c r="I54" s="68"/>
      <c r="J54" s="1173">
        <v>2351.6</v>
      </c>
      <c r="K54" s="1174"/>
      <c r="L54" s="1173">
        <v>0</v>
      </c>
      <c r="M54" s="1175"/>
      <c r="N54" s="1173">
        <f>P54-L54</f>
        <v>2000</v>
      </c>
      <c r="O54" s="68"/>
      <c r="P54" s="1173">
        <v>2000</v>
      </c>
      <c r="Q54" s="68"/>
      <c r="R54" s="1173">
        <v>2000</v>
      </c>
    </row>
    <row r="55" spans="1:20" ht="12" customHeight="1">
      <c r="A55" s="28"/>
      <c r="B55" s="33"/>
      <c r="C55" s="33"/>
      <c r="D55" s="33"/>
      <c r="E55" s="33" t="s">
        <v>1704</v>
      </c>
      <c r="F55" s="23"/>
      <c r="G55" s="29" t="s">
        <v>1705</v>
      </c>
      <c r="H55" s="29" t="s">
        <v>1642</v>
      </c>
      <c r="I55" s="68"/>
      <c r="J55" s="1173">
        <v>975820.9</v>
      </c>
      <c r="K55" s="1174"/>
      <c r="L55" s="1173">
        <v>390727.51</v>
      </c>
      <c r="M55" s="1175"/>
      <c r="N55" s="1173">
        <f>P55-L55</f>
        <v>209272.49</v>
      </c>
      <c r="O55" s="68"/>
      <c r="P55" s="1173">
        <v>600000</v>
      </c>
      <c r="Q55" s="68"/>
      <c r="R55" s="1173">
        <v>770000</v>
      </c>
    </row>
    <row r="56" spans="1:20" ht="12" customHeight="1">
      <c r="A56" s="28"/>
      <c r="B56" s="33"/>
      <c r="C56" s="33"/>
      <c r="D56" s="33" t="s">
        <v>1706</v>
      </c>
      <c r="E56" s="33"/>
      <c r="F56" s="23"/>
      <c r="G56" s="29"/>
      <c r="H56" s="29"/>
      <c r="I56" s="68"/>
      <c r="J56" s="1173">
        <v>0</v>
      </c>
      <c r="K56" s="1174"/>
      <c r="L56" s="1174"/>
      <c r="M56" s="1175"/>
      <c r="N56" s="1173"/>
      <c r="O56" s="1174"/>
      <c r="P56" s="1197"/>
      <c r="Q56" s="68"/>
      <c r="R56" s="1197"/>
    </row>
    <row r="57" spans="1:20" ht="12" customHeight="1">
      <c r="A57" s="28"/>
      <c r="B57" s="33"/>
      <c r="C57" s="33"/>
      <c r="D57" s="33"/>
      <c r="E57" s="33" t="s">
        <v>1707</v>
      </c>
      <c r="F57" s="23"/>
      <c r="G57" s="29" t="s">
        <v>1708</v>
      </c>
      <c r="H57" s="29" t="s">
        <v>1642</v>
      </c>
      <c r="I57" s="68"/>
      <c r="J57" s="1173">
        <v>0</v>
      </c>
      <c r="K57" s="68"/>
      <c r="L57" s="1173">
        <v>0</v>
      </c>
      <c r="M57" s="68"/>
      <c r="N57" s="1173">
        <f>P57-L57</f>
        <v>0</v>
      </c>
      <c r="O57" s="68"/>
      <c r="P57" s="1197">
        <v>0</v>
      </c>
      <c r="Q57" s="68"/>
      <c r="R57" s="1197">
        <v>0</v>
      </c>
    </row>
    <row r="58" spans="1:20" ht="12" customHeight="1">
      <c r="A58" s="28"/>
      <c r="B58" s="33"/>
      <c r="C58" s="33"/>
      <c r="D58" s="33"/>
      <c r="E58" s="33" t="s">
        <v>1709</v>
      </c>
      <c r="F58" s="23"/>
      <c r="G58" s="29" t="s">
        <v>1710</v>
      </c>
      <c r="H58" s="29" t="s">
        <v>1645</v>
      </c>
      <c r="I58" s="68"/>
      <c r="J58" s="1173">
        <v>1061436.24</v>
      </c>
      <c r="K58" s="1175"/>
      <c r="L58" s="1173">
        <v>737037.63</v>
      </c>
      <c r="M58" s="1175"/>
      <c r="N58" s="1173">
        <f>P58-L58</f>
        <v>262962.37</v>
      </c>
      <c r="O58" s="68"/>
      <c r="P58" s="1173">
        <v>1000000</v>
      </c>
      <c r="Q58" s="68"/>
      <c r="R58" s="1173">
        <v>1500000</v>
      </c>
    </row>
    <row r="59" spans="1:20" ht="12" customHeight="1">
      <c r="A59" s="28"/>
      <c r="B59" s="33"/>
      <c r="C59" s="33"/>
      <c r="D59" s="33"/>
      <c r="E59" s="33" t="s">
        <v>1711</v>
      </c>
      <c r="F59" s="23"/>
      <c r="G59" s="29" t="s">
        <v>1712</v>
      </c>
      <c r="H59" s="29" t="s">
        <v>1642</v>
      </c>
      <c r="I59" s="68"/>
      <c r="J59" s="1173">
        <v>363368</v>
      </c>
      <c r="K59" s="1175"/>
      <c r="L59" s="1173">
        <v>218542</v>
      </c>
      <c r="M59" s="1175"/>
      <c r="N59" s="1173">
        <f>P59-L59</f>
        <v>281458</v>
      </c>
      <c r="O59" s="68"/>
      <c r="P59" s="1173">
        <v>500000</v>
      </c>
      <c r="Q59" s="68"/>
      <c r="R59" s="1173">
        <v>680000</v>
      </c>
    </row>
    <row r="60" spans="1:20" ht="12" customHeight="1">
      <c r="A60" s="28"/>
      <c r="B60" s="33"/>
      <c r="C60" s="33"/>
      <c r="D60" s="33"/>
      <c r="E60" s="33" t="s">
        <v>1713</v>
      </c>
      <c r="F60" s="23"/>
      <c r="G60" s="29" t="s">
        <v>1714</v>
      </c>
      <c r="H60" s="29" t="s">
        <v>1642</v>
      </c>
      <c r="I60" s="68"/>
      <c r="J60" s="1173">
        <v>0</v>
      </c>
      <c r="K60" s="1175"/>
      <c r="L60" s="1173">
        <v>0</v>
      </c>
      <c r="M60" s="1175"/>
      <c r="N60" s="1173">
        <f>P60-L60</f>
        <v>0</v>
      </c>
      <c r="O60" s="68"/>
      <c r="P60" s="1173">
        <v>0</v>
      </c>
      <c r="Q60" s="68"/>
      <c r="R60" s="1173">
        <v>0</v>
      </c>
    </row>
    <row r="61" spans="1:20" ht="12" customHeight="1">
      <c r="A61" s="28"/>
      <c r="B61" s="33"/>
      <c r="C61" s="33"/>
      <c r="D61" s="33"/>
      <c r="E61" s="33"/>
      <c r="F61" s="23"/>
      <c r="G61" s="29"/>
      <c r="H61" s="29"/>
      <c r="I61" s="1177"/>
      <c r="J61" s="1178"/>
      <c r="K61" s="1179"/>
      <c r="L61" s="1179"/>
      <c r="M61" s="1180"/>
      <c r="N61" s="1178"/>
      <c r="O61" s="1177"/>
      <c r="P61" s="1178"/>
      <c r="Q61" s="1177"/>
      <c r="R61" s="1204"/>
    </row>
    <row r="62" spans="1:20" s="1187" customFormat="1" ht="12" customHeight="1">
      <c r="A62" s="22"/>
      <c r="B62" s="783"/>
      <c r="C62" s="783"/>
      <c r="D62" s="1189" t="s">
        <v>1715</v>
      </c>
      <c r="E62" s="783"/>
      <c r="F62" s="1182"/>
      <c r="G62" s="1192"/>
      <c r="H62" s="1192"/>
      <c r="I62" s="411" t="s">
        <v>15</v>
      </c>
      <c r="J62" s="1176">
        <f>SUM(J35:J61)</f>
        <v>31809992.979999997</v>
      </c>
      <c r="K62" s="411" t="s">
        <v>15</v>
      </c>
      <c r="L62" s="1176">
        <f>SUM(L35:L61)</f>
        <v>23537892.800000001</v>
      </c>
      <c r="M62" s="411" t="s">
        <v>15</v>
      </c>
      <c r="N62" s="1176">
        <f>SUM(N35:N60)</f>
        <v>18007107.199999996</v>
      </c>
      <c r="O62" s="411" t="s">
        <v>15</v>
      </c>
      <c r="P62" s="1176">
        <f>SUM(P35:P60)</f>
        <v>41545000</v>
      </c>
      <c r="Q62" s="411" t="s">
        <v>15</v>
      </c>
      <c r="R62" s="1176">
        <f>SUM(R35:R60)</f>
        <v>50024000</v>
      </c>
      <c r="S62" s="1196">
        <f>R62-P62</f>
        <v>8479000</v>
      </c>
      <c r="T62" s="1186"/>
    </row>
    <row r="63" spans="1:20" ht="12" customHeight="1">
      <c r="A63" s="28"/>
      <c r="B63" s="33"/>
      <c r="C63" s="33"/>
      <c r="D63" s="33"/>
      <c r="E63" s="33"/>
      <c r="F63" s="23"/>
      <c r="G63" s="29"/>
      <c r="H63" s="29"/>
      <c r="I63" s="68"/>
      <c r="J63" s="1173"/>
      <c r="K63" s="1174"/>
      <c r="L63" s="1174"/>
      <c r="M63" s="1175"/>
      <c r="N63" s="1173"/>
      <c r="O63" s="68"/>
      <c r="P63" s="1173"/>
      <c r="Q63" s="68"/>
      <c r="R63" s="1197"/>
    </row>
    <row r="64" spans="1:20" ht="12" customHeight="1">
      <c r="A64" s="28"/>
      <c r="B64" s="33"/>
      <c r="C64" s="33"/>
      <c r="D64" s="1181" t="s">
        <v>1716</v>
      </c>
      <c r="E64" s="33"/>
      <c r="F64" s="33"/>
      <c r="G64" s="29"/>
      <c r="H64" s="29"/>
      <c r="I64" s="1184" t="s">
        <v>15</v>
      </c>
      <c r="J64" s="1185">
        <f>J62+J32</f>
        <v>73571960.420000002</v>
      </c>
      <c r="K64" s="1184" t="s">
        <v>15</v>
      </c>
      <c r="L64" s="1185">
        <f>L62+L32</f>
        <v>62519519.859999999</v>
      </c>
      <c r="M64" s="1184" t="s">
        <v>15</v>
      </c>
      <c r="N64" s="1185">
        <f>N62+N32</f>
        <v>32599772.139999993</v>
      </c>
      <c r="O64" s="1184" t="s">
        <v>15</v>
      </c>
      <c r="P64" s="1185">
        <f>P62+P32</f>
        <v>95119292</v>
      </c>
      <c r="Q64" s="1184" t="s">
        <v>15</v>
      </c>
      <c r="R64" s="1185">
        <f>R62+R32</f>
        <v>106774000</v>
      </c>
      <c r="S64" s="1190">
        <f>R64-P64</f>
        <v>11654708</v>
      </c>
    </row>
    <row r="65" spans="1:20" ht="12" customHeight="1">
      <c r="A65" s="28"/>
      <c r="B65" s="33"/>
      <c r="C65" s="33"/>
      <c r="D65" s="33"/>
      <c r="E65" s="33"/>
      <c r="F65" s="23"/>
      <c r="G65" s="24"/>
      <c r="H65" s="24"/>
      <c r="I65" s="1177"/>
      <c r="J65" s="1205"/>
      <c r="K65" s="1206"/>
      <c r="L65" s="1205"/>
      <c r="M65" s="1206"/>
      <c r="N65" s="1207"/>
      <c r="O65" s="1208"/>
      <c r="P65" s="1205"/>
      <c r="Q65" s="1177"/>
      <c r="R65" s="1209"/>
    </row>
    <row r="66" spans="1:20" ht="12" customHeight="1">
      <c r="A66" s="28"/>
      <c r="B66" s="1188" t="s">
        <v>1717</v>
      </c>
      <c r="C66" s="33"/>
      <c r="D66" s="33"/>
      <c r="E66" s="33"/>
      <c r="F66" s="23"/>
      <c r="G66" s="29"/>
      <c r="H66" s="29"/>
      <c r="I66" s="68"/>
      <c r="J66" s="1173"/>
      <c r="K66" s="1174"/>
      <c r="L66" s="1174"/>
      <c r="M66" s="1175"/>
      <c r="N66" s="1173"/>
      <c r="O66" s="1174"/>
      <c r="P66" s="1174"/>
      <c r="Q66" s="68"/>
      <c r="R66" s="1197"/>
    </row>
    <row r="67" spans="1:20" ht="12" customHeight="1">
      <c r="A67" s="28"/>
      <c r="B67" s="33"/>
      <c r="C67" s="33" t="s">
        <v>1718</v>
      </c>
      <c r="D67" s="33"/>
      <c r="E67" s="33"/>
      <c r="F67" s="23"/>
      <c r="G67" s="29" t="s">
        <v>1719</v>
      </c>
      <c r="H67" s="29" t="s">
        <v>1645</v>
      </c>
      <c r="I67" s="68" t="s">
        <v>15</v>
      </c>
      <c r="J67" s="1173">
        <v>329763945</v>
      </c>
      <c r="K67" s="68" t="s">
        <v>15</v>
      </c>
      <c r="L67" s="1173">
        <v>0</v>
      </c>
      <c r="M67" s="68" t="s">
        <v>15</v>
      </c>
      <c r="N67" s="1173">
        <f>P67-L67</f>
        <v>0</v>
      </c>
      <c r="O67" s="68" t="s">
        <v>15</v>
      </c>
      <c r="P67" s="1173">
        <v>0</v>
      </c>
      <c r="Q67" s="68" t="s">
        <v>15</v>
      </c>
      <c r="R67" s="1173">
        <v>0</v>
      </c>
      <c r="S67" s="1190">
        <f>R67-P67</f>
        <v>0</v>
      </c>
    </row>
    <row r="68" spans="1:20" ht="12" customHeight="1">
      <c r="A68" s="58"/>
      <c r="B68" s="12"/>
      <c r="C68" s="12" t="s">
        <v>1720</v>
      </c>
      <c r="D68" s="12"/>
      <c r="E68" s="12"/>
      <c r="F68" s="82"/>
      <c r="G68" s="34" t="s">
        <v>1719</v>
      </c>
      <c r="H68" s="34" t="s">
        <v>1645</v>
      </c>
      <c r="I68" s="411"/>
      <c r="J68" s="1176">
        <v>0</v>
      </c>
      <c r="K68" s="411"/>
      <c r="L68" s="1176">
        <v>225385422</v>
      </c>
      <c r="M68" s="411"/>
      <c r="N68" s="1176">
        <f t="shared" ref="N68:N75" si="2">P68-L68</f>
        <v>225385420</v>
      </c>
      <c r="O68" s="411"/>
      <c r="P68" s="1176">
        <v>450770842</v>
      </c>
      <c r="Q68" s="411"/>
      <c r="R68" s="1176">
        <v>385544746</v>
      </c>
      <c r="S68" s="1190">
        <f>R68-P68</f>
        <v>-65226096</v>
      </c>
    </row>
    <row r="69" spans="1:20" ht="12" customHeight="1">
      <c r="A69" s="28"/>
      <c r="B69" s="33"/>
      <c r="C69" s="33" t="s">
        <v>1721</v>
      </c>
      <c r="D69" s="33"/>
      <c r="E69" s="33"/>
      <c r="F69" s="23"/>
      <c r="G69" s="29" t="s">
        <v>1722</v>
      </c>
      <c r="H69" s="29" t="s">
        <v>1642</v>
      </c>
      <c r="I69" s="68"/>
      <c r="J69" s="1173">
        <v>0</v>
      </c>
      <c r="K69" s="1175"/>
      <c r="L69" s="1173">
        <v>0</v>
      </c>
      <c r="M69" s="1175"/>
      <c r="N69" s="1173">
        <f t="shared" si="2"/>
        <v>0</v>
      </c>
      <c r="O69" s="68"/>
      <c r="P69" s="1173">
        <v>0</v>
      </c>
      <c r="Q69" s="68"/>
      <c r="R69" s="1173">
        <v>0</v>
      </c>
    </row>
    <row r="70" spans="1:20" ht="12" customHeight="1">
      <c r="A70" s="28"/>
      <c r="B70" s="33"/>
      <c r="C70" s="33" t="s">
        <v>1723</v>
      </c>
      <c r="D70" s="33"/>
      <c r="E70" s="33"/>
      <c r="F70" s="33"/>
      <c r="G70" s="29" t="s">
        <v>1724</v>
      </c>
      <c r="H70" s="29" t="s">
        <v>1642</v>
      </c>
      <c r="I70" s="62"/>
      <c r="J70" s="1173">
        <v>340300.97</v>
      </c>
      <c r="K70" s="1174"/>
      <c r="L70" s="1173">
        <v>224281.86</v>
      </c>
      <c r="M70" s="1174"/>
      <c r="N70" s="1173">
        <f t="shared" si="2"/>
        <v>-24281.859999999986</v>
      </c>
      <c r="O70" s="62"/>
      <c r="P70" s="1173">
        <v>200000</v>
      </c>
      <c r="Q70" s="68"/>
      <c r="R70" s="1173">
        <v>500000</v>
      </c>
      <c r="S70" s="1190">
        <f>R70-P70</f>
        <v>300000</v>
      </c>
    </row>
    <row r="71" spans="1:20" ht="12" customHeight="1">
      <c r="A71" s="28"/>
      <c r="B71" s="33"/>
      <c r="C71" s="33"/>
      <c r="D71" s="33" t="s">
        <v>1725</v>
      </c>
      <c r="E71" s="33"/>
      <c r="F71" s="23"/>
      <c r="G71" s="29"/>
      <c r="H71" s="29" t="s">
        <v>1642</v>
      </c>
      <c r="I71" s="68"/>
      <c r="J71" s="1173">
        <v>0</v>
      </c>
      <c r="K71" s="1174"/>
      <c r="L71" s="1173">
        <v>22262364.100000001</v>
      </c>
      <c r="M71" s="1175"/>
      <c r="N71" s="1173">
        <f>P71-L71</f>
        <v>-22262364.100000001</v>
      </c>
      <c r="O71" s="68"/>
      <c r="P71" s="1173">
        <v>0</v>
      </c>
      <c r="Q71" s="68"/>
      <c r="R71" s="1173">
        <v>0</v>
      </c>
    </row>
    <row r="72" spans="1:20" ht="12" customHeight="1">
      <c r="A72" s="28"/>
      <c r="B72" s="33"/>
      <c r="C72" s="33"/>
      <c r="D72" s="33" t="s">
        <v>1726</v>
      </c>
      <c r="E72" s="33"/>
      <c r="F72" s="23"/>
      <c r="G72" s="29"/>
      <c r="H72" s="29"/>
      <c r="I72" s="68"/>
      <c r="J72" s="1173">
        <v>2290406</v>
      </c>
      <c r="K72" s="1174"/>
      <c r="L72" s="1173">
        <v>0</v>
      </c>
      <c r="M72" s="1175"/>
      <c r="N72" s="1173">
        <f t="shared" si="2"/>
        <v>0</v>
      </c>
      <c r="O72" s="68"/>
      <c r="P72" s="1173">
        <v>0</v>
      </c>
      <c r="Q72" s="68"/>
      <c r="R72" s="1173">
        <v>0</v>
      </c>
    </row>
    <row r="73" spans="1:20" ht="12" customHeight="1">
      <c r="A73" s="28"/>
      <c r="B73" s="33"/>
      <c r="C73" s="33" t="s">
        <v>1727</v>
      </c>
      <c r="D73" s="33"/>
      <c r="E73" s="33"/>
      <c r="F73" s="33"/>
      <c r="G73" s="29"/>
      <c r="H73" s="29"/>
      <c r="I73" s="62"/>
      <c r="J73" s="1173">
        <v>0</v>
      </c>
      <c r="K73" s="1174"/>
      <c r="L73" s="1173">
        <v>0</v>
      </c>
      <c r="M73" s="1174"/>
      <c r="N73" s="1173">
        <f t="shared" si="2"/>
        <v>0</v>
      </c>
      <c r="O73" s="62"/>
      <c r="P73" s="1173">
        <v>0</v>
      </c>
      <c r="Q73" s="68"/>
      <c r="R73" s="1173">
        <v>0</v>
      </c>
      <c r="S73" s="1210"/>
    </row>
    <row r="74" spans="1:20" ht="12" customHeight="1">
      <c r="A74" s="28"/>
      <c r="B74" s="33"/>
      <c r="C74" s="33"/>
      <c r="D74" s="33" t="s">
        <v>1728</v>
      </c>
      <c r="E74" s="33"/>
      <c r="F74" s="33"/>
      <c r="G74" s="29" t="s">
        <v>1729</v>
      </c>
      <c r="H74" s="29" t="s">
        <v>1642</v>
      </c>
      <c r="I74" s="62"/>
      <c r="J74" s="1173">
        <v>2263817.7200000002</v>
      </c>
      <c r="K74" s="1174"/>
      <c r="L74" s="1173">
        <v>718976.11</v>
      </c>
      <c r="M74" s="1174"/>
      <c r="N74" s="1173">
        <f>P74-L74</f>
        <v>1499504.8900000001</v>
      </c>
      <c r="O74" s="62"/>
      <c r="P74" s="1173">
        <v>2218481</v>
      </c>
      <c r="Q74" s="68"/>
      <c r="R74" s="1173">
        <v>2873000</v>
      </c>
      <c r="T74" s="1190">
        <f>R22+R23+R24+R30+R35+R37+R41+R43+R44+R45+R48+R57+R60+R67</f>
        <v>49780000</v>
      </c>
    </row>
    <row r="75" spans="1:20" ht="12" customHeight="1">
      <c r="A75" s="28"/>
      <c r="B75" s="33"/>
      <c r="C75" s="33"/>
      <c r="D75" s="33" t="s">
        <v>1730</v>
      </c>
      <c r="E75" s="33"/>
      <c r="F75" s="33"/>
      <c r="G75" s="29"/>
      <c r="H75" s="29"/>
      <c r="I75" s="62"/>
      <c r="J75" s="1173">
        <v>0</v>
      </c>
      <c r="K75" s="1174"/>
      <c r="L75" s="1173">
        <v>0</v>
      </c>
      <c r="M75" s="1211"/>
      <c r="N75" s="1176">
        <f t="shared" si="2"/>
        <v>0</v>
      </c>
      <c r="O75" s="1212"/>
      <c r="P75" s="1176">
        <v>0</v>
      </c>
      <c r="Q75" s="411"/>
      <c r="R75" s="1176">
        <v>2000</v>
      </c>
      <c r="T75" s="1190" t="e">
        <f>R23+R24+R25+R31+R36+R38+R42+R44+R45+R46+R49+R58+#REF!+R68</f>
        <v>#REF!</v>
      </c>
    </row>
    <row r="76" spans="1:20" ht="12" customHeight="1">
      <c r="A76" s="58"/>
      <c r="B76" s="33"/>
      <c r="C76" s="33"/>
      <c r="D76" s="1181" t="s">
        <v>1731</v>
      </c>
      <c r="E76" s="33"/>
      <c r="F76" s="33"/>
      <c r="G76" s="29"/>
      <c r="H76" s="29"/>
      <c r="I76" s="1213" t="s">
        <v>15</v>
      </c>
      <c r="J76" s="1214">
        <f>SUM(J67:J75)</f>
        <v>334658469.69000006</v>
      </c>
      <c r="K76" s="1213" t="s">
        <v>15</v>
      </c>
      <c r="L76" s="1214">
        <f>SUM(L67:L75)</f>
        <v>248591044.07000002</v>
      </c>
      <c r="M76" s="1184" t="s">
        <v>15</v>
      </c>
      <c r="N76" s="1214">
        <f>SUM(N67:N75)</f>
        <v>204598278.92999998</v>
      </c>
      <c r="O76" s="1213" t="s">
        <v>15</v>
      </c>
      <c r="P76" s="1214">
        <f>SUM(P67:P75)</f>
        <v>453189323</v>
      </c>
      <c r="Q76" s="1184" t="s">
        <v>15</v>
      </c>
      <c r="R76" s="1214">
        <f>SUM(R67:R75)</f>
        <v>388919746</v>
      </c>
      <c r="S76" s="1190">
        <f>R76-P76</f>
        <v>-64269577</v>
      </c>
      <c r="T76" s="1190" t="e">
        <f>T75*5%</f>
        <v>#REF!</v>
      </c>
    </row>
    <row r="77" spans="1:20" ht="12" customHeight="1">
      <c r="A77" s="1215"/>
      <c r="B77" s="1188" t="s">
        <v>1732</v>
      </c>
      <c r="C77" s="33"/>
      <c r="D77" s="33"/>
      <c r="E77" s="33"/>
      <c r="F77" s="23"/>
      <c r="G77" s="29"/>
      <c r="H77" s="29"/>
      <c r="I77" s="1216"/>
      <c r="J77" s="1217"/>
      <c r="K77" s="1216"/>
      <c r="L77" s="1217"/>
      <c r="M77" s="1216"/>
      <c r="N77" s="1217"/>
      <c r="O77" s="1216"/>
      <c r="P77" s="1217"/>
      <c r="Q77" s="1216"/>
      <c r="R77" s="1218"/>
    </row>
    <row r="78" spans="1:20" ht="12" customHeight="1">
      <c r="A78" s="28"/>
      <c r="B78" s="33"/>
      <c r="C78" s="33" t="s">
        <v>1733</v>
      </c>
      <c r="D78" s="33"/>
      <c r="E78" s="33"/>
      <c r="F78" s="23"/>
      <c r="G78" s="29"/>
      <c r="H78" s="29"/>
      <c r="I78" s="68"/>
      <c r="J78" s="1173"/>
      <c r="K78" s="68"/>
      <c r="L78" s="1173"/>
      <c r="M78" s="68"/>
      <c r="N78" s="1173"/>
      <c r="O78" s="68"/>
      <c r="P78" s="1173"/>
      <c r="Q78" s="68"/>
      <c r="R78" s="1197"/>
      <c r="S78" s="1190">
        <f>R78-P78</f>
        <v>0</v>
      </c>
    </row>
    <row r="79" spans="1:20" ht="12" customHeight="1">
      <c r="A79" s="28"/>
      <c r="B79" s="33"/>
      <c r="C79" s="33"/>
      <c r="D79" s="33" t="s">
        <v>1734</v>
      </c>
      <c r="E79" s="33"/>
      <c r="F79" s="23"/>
      <c r="G79" s="29" t="s">
        <v>1735</v>
      </c>
      <c r="H79" s="29" t="s">
        <v>1645</v>
      </c>
      <c r="I79" s="68" t="s">
        <v>15</v>
      </c>
      <c r="J79" s="1173">
        <v>6712254</v>
      </c>
      <c r="K79" s="68" t="s">
        <v>15</v>
      </c>
      <c r="L79" s="1173">
        <v>6163073</v>
      </c>
      <c r="M79" s="68" t="s">
        <v>15</v>
      </c>
      <c r="N79" s="1173">
        <f>P79-L79</f>
        <v>5336927</v>
      </c>
      <c r="O79" s="68" t="s">
        <v>15</v>
      </c>
      <c r="P79" s="1173">
        <v>11500000</v>
      </c>
      <c r="Q79" s="68" t="s">
        <v>15</v>
      </c>
      <c r="R79" s="1173">
        <v>12500000</v>
      </c>
      <c r="T79" s="1190" t="e">
        <f>R31+#REF!+R32+R35+#REF!+R41+R48+R50+R51+R52+R57+R63+R65+R76</f>
        <v>#REF!</v>
      </c>
    </row>
    <row r="80" spans="1:20" ht="12" customHeight="1">
      <c r="A80" s="28"/>
      <c r="B80" s="33"/>
      <c r="C80" s="33"/>
      <c r="D80" s="33" t="s">
        <v>1736</v>
      </c>
      <c r="E80" s="33"/>
      <c r="F80" s="33"/>
      <c r="G80" s="29" t="s">
        <v>1737</v>
      </c>
      <c r="H80" s="29" t="s">
        <v>1645</v>
      </c>
      <c r="I80" s="68"/>
      <c r="J80" s="1173"/>
      <c r="K80" s="1175"/>
      <c r="L80" s="1173"/>
      <c r="M80" s="1175"/>
      <c r="N80" s="1173"/>
      <c r="O80" s="68"/>
      <c r="P80" s="1173"/>
      <c r="Q80" s="68"/>
      <c r="R80" s="1173"/>
      <c r="T80" s="1190" t="e">
        <f>#REF!+R32+#REF!+R36+R40+R42+R49+R51+R52+R53+R58+R64+R66+#REF!</f>
        <v>#REF!</v>
      </c>
    </row>
    <row r="81" spans="1:21" ht="12" customHeight="1">
      <c r="A81" s="28"/>
      <c r="B81" s="33"/>
      <c r="C81" s="33"/>
      <c r="D81" s="33"/>
      <c r="E81" s="33" t="s">
        <v>1738</v>
      </c>
      <c r="F81" s="33"/>
      <c r="G81" s="29"/>
      <c r="H81" s="29"/>
      <c r="I81" s="68"/>
      <c r="J81" s="1173">
        <v>22572769.57</v>
      </c>
      <c r="K81" s="1175"/>
      <c r="L81" s="1173">
        <v>1921822.68</v>
      </c>
      <c r="M81" s="1175"/>
      <c r="N81" s="1173">
        <f>P81-L81</f>
        <v>8378177.3200000003</v>
      </c>
      <c r="O81" s="68"/>
      <c r="P81" s="1173">
        <v>10300000</v>
      </c>
      <c r="Q81" s="68"/>
      <c r="R81" s="1173">
        <v>10500000</v>
      </c>
      <c r="T81" s="1190"/>
    </row>
    <row r="82" spans="1:21" ht="12" customHeight="1">
      <c r="A82" s="28"/>
      <c r="B82" s="33"/>
      <c r="C82" s="33"/>
      <c r="D82" s="33"/>
      <c r="E82" s="33" t="s">
        <v>1739</v>
      </c>
      <c r="F82" s="33"/>
      <c r="G82" s="29"/>
      <c r="H82" s="29"/>
      <c r="I82" s="68"/>
      <c r="J82" s="1173">
        <v>0</v>
      </c>
      <c r="K82" s="1175"/>
      <c r="L82" s="1173">
        <v>6454951</v>
      </c>
      <c r="M82" s="1175"/>
      <c r="N82" s="1173">
        <f>P82-L82</f>
        <v>7545049</v>
      </c>
      <c r="O82" s="68"/>
      <c r="P82" s="1173">
        <v>14000000</v>
      </c>
      <c r="Q82" s="68"/>
      <c r="R82" s="1173">
        <v>17000000</v>
      </c>
      <c r="T82" s="1190"/>
    </row>
    <row r="83" spans="1:21" ht="12" customHeight="1">
      <c r="A83" s="28"/>
      <c r="B83" s="33"/>
      <c r="C83" s="33"/>
      <c r="D83" s="33"/>
      <c r="E83" s="33" t="s">
        <v>1740</v>
      </c>
      <c r="F83" s="33"/>
      <c r="G83" s="29"/>
      <c r="H83" s="29"/>
      <c r="I83" s="68"/>
      <c r="J83" s="1173">
        <v>0</v>
      </c>
      <c r="K83" s="1175"/>
      <c r="L83" s="1173">
        <v>609956</v>
      </c>
      <c r="M83" s="1175"/>
      <c r="N83" s="1173">
        <f>P83-L83</f>
        <v>1090044</v>
      </c>
      <c r="O83" s="68"/>
      <c r="P83" s="1173">
        <v>1700000</v>
      </c>
      <c r="Q83" s="68"/>
      <c r="R83" s="1173">
        <v>2000000</v>
      </c>
      <c r="T83" s="1190"/>
    </row>
    <row r="84" spans="1:21" ht="12" customHeight="1">
      <c r="A84" s="28"/>
      <c r="B84" s="33"/>
      <c r="C84" s="33"/>
      <c r="D84" s="33" t="s">
        <v>1741</v>
      </c>
      <c r="E84" s="33"/>
      <c r="F84" s="23"/>
      <c r="G84" s="29" t="s">
        <v>1742</v>
      </c>
      <c r="H84" s="29" t="s">
        <v>1645</v>
      </c>
      <c r="I84" s="68"/>
      <c r="J84" s="1173">
        <v>5712442.25</v>
      </c>
      <c r="K84" s="1174"/>
      <c r="L84" s="1173">
        <v>2909324</v>
      </c>
      <c r="M84" s="1175"/>
      <c r="N84" s="1173">
        <f>P84-L84</f>
        <v>4590676</v>
      </c>
      <c r="O84" s="68"/>
      <c r="P84" s="1173">
        <v>7500000</v>
      </c>
      <c r="Q84" s="68"/>
      <c r="R84" s="1173">
        <v>8000000</v>
      </c>
      <c r="T84" s="1190" t="e">
        <f>R32+#REF!+R33+R37+R41+R43+R50+R52+R53+R56+R59+R65+R68+R77</f>
        <v>#REF!</v>
      </c>
    </row>
    <row r="85" spans="1:21" ht="12" customHeight="1">
      <c r="A85" s="28"/>
      <c r="B85" s="33"/>
      <c r="C85" s="33"/>
      <c r="D85" s="1181" t="s">
        <v>1743</v>
      </c>
      <c r="E85" s="33"/>
      <c r="F85" s="23"/>
      <c r="G85" s="29"/>
      <c r="H85" s="29"/>
      <c r="I85" s="1213" t="s">
        <v>15</v>
      </c>
      <c r="J85" s="1214">
        <f>SUM(J79:J84)</f>
        <v>34997465.82</v>
      </c>
      <c r="K85" s="1213" t="s">
        <v>15</v>
      </c>
      <c r="L85" s="1214">
        <f>SUM(L79:L84)</f>
        <v>18059126.68</v>
      </c>
      <c r="M85" s="1213" t="s">
        <v>15</v>
      </c>
      <c r="N85" s="1214">
        <f>SUM(N79:N84)</f>
        <v>26940873.32</v>
      </c>
      <c r="O85" s="1213" t="s">
        <v>15</v>
      </c>
      <c r="P85" s="1214">
        <f>SUM(P79:P84)</f>
        <v>45000000</v>
      </c>
      <c r="Q85" s="1213" t="s">
        <v>15</v>
      </c>
      <c r="R85" s="1219">
        <f>SUM(R79:R84)</f>
        <v>50000000</v>
      </c>
      <c r="S85" s="1190">
        <f>R85-P85</f>
        <v>5000000</v>
      </c>
      <c r="T85" s="1190" t="e">
        <f>T80*5%</f>
        <v>#REF!</v>
      </c>
    </row>
    <row r="86" spans="1:21" ht="12" customHeight="1">
      <c r="A86" s="28"/>
      <c r="B86" s="33"/>
      <c r="C86" s="33"/>
      <c r="D86" s="33"/>
      <c r="E86" s="33"/>
      <c r="F86" s="23"/>
      <c r="G86" s="29"/>
      <c r="H86" s="29"/>
      <c r="I86" s="1177"/>
      <c r="J86" s="1178"/>
      <c r="K86" s="1179"/>
      <c r="L86" s="1178"/>
      <c r="M86" s="1180"/>
      <c r="N86" s="1178"/>
      <c r="O86" s="1177"/>
      <c r="P86" s="1178"/>
      <c r="Q86" s="1177"/>
      <c r="R86" s="1204"/>
      <c r="S86" s="1220">
        <f>P87-P85</f>
        <v>548308615</v>
      </c>
    </row>
    <row r="87" spans="1:21" s="1187" customFormat="1" ht="12" customHeight="1">
      <c r="A87" s="1221"/>
      <c r="B87" s="1181" t="s">
        <v>1744</v>
      </c>
      <c r="C87" s="783"/>
      <c r="D87" s="783"/>
      <c r="E87" s="783"/>
      <c r="F87" s="1182"/>
      <c r="G87" s="1192"/>
      <c r="H87" s="1192"/>
      <c r="I87" s="1184" t="s">
        <v>15</v>
      </c>
      <c r="J87" s="1222">
        <f>J64+J76+J85</f>
        <v>443227895.93000007</v>
      </c>
      <c r="K87" s="1184" t="s">
        <v>15</v>
      </c>
      <c r="L87" s="1185">
        <f>L64+L76+L85</f>
        <v>329169690.61000001</v>
      </c>
      <c r="M87" s="1184" t="s">
        <v>15</v>
      </c>
      <c r="N87" s="1185">
        <f>N64+N76+N85</f>
        <v>264138924.38999996</v>
      </c>
      <c r="O87" s="1184" t="s">
        <v>15</v>
      </c>
      <c r="P87" s="1185">
        <f>P64+P76+P85</f>
        <v>593308615</v>
      </c>
      <c r="Q87" s="1184" t="s">
        <v>15</v>
      </c>
      <c r="R87" s="1222">
        <f>R64+R76+R85</f>
        <v>545693746</v>
      </c>
      <c r="S87" s="1223">
        <f>R87-R85</f>
        <v>495693746</v>
      </c>
      <c r="T87" s="1186"/>
    </row>
    <row r="88" spans="1:21" s="1187" customFormat="1" ht="12" customHeight="1">
      <c r="A88" s="1221"/>
      <c r="B88" s="1181"/>
      <c r="C88" s="783"/>
      <c r="D88" s="783"/>
      <c r="E88" s="783"/>
      <c r="F88" s="1182"/>
      <c r="G88" s="1192"/>
      <c r="H88" s="1192"/>
      <c r="I88" s="81"/>
      <c r="J88" s="1224"/>
      <c r="K88" s="1225"/>
      <c r="L88" s="1225"/>
      <c r="M88" s="1226"/>
      <c r="N88" s="1225"/>
      <c r="O88" s="81"/>
      <c r="P88" s="1225"/>
      <c r="Q88" s="81"/>
      <c r="R88" s="1224"/>
      <c r="S88" s="1223">
        <f>S86-S87</f>
        <v>52614869</v>
      </c>
      <c r="T88" s="1186"/>
    </row>
    <row r="89" spans="1:21" s="1187" customFormat="1" ht="12" customHeight="1">
      <c r="A89" s="1256" t="s">
        <v>1745</v>
      </c>
      <c r="B89" s="1257"/>
      <c r="C89" s="1257"/>
      <c r="D89" s="1257"/>
      <c r="E89" s="1257"/>
      <c r="F89" s="1258"/>
      <c r="G89" s="1192"/>
      <c r="H89" s="1192"/>
      <c r="I89" s="81"/>
      <c r="J89" s="1227"/>
      <c r="K89" s="1225"/>
      <c r="L89" s="1225"/>
      <c r="M89" s="1226"/>
      <c r="N89" s="1225"/>
      <c r="O89" s="81"/>
      <c r="P89" s="1225"/>
      <c r="Q89" s="81"/>
      <c r="R89" s="1227"/>
      <c r="S89" s="1186"/>
      <c r="T89" s="1186"/>
    </row>
    <row r="90" spans="1:21" s="1187" customFormat="1" ht="12" customHeight="1">
      <c r="A90" s="1256" t="s">
        <v>1746</v>
      </c>
      <c r="B90" s="1257"/>
      <c r="C90" s="1257"/>
      <c r="D90" s="1257"/>
      <c r="E90" s="1257"/>
      <c r="F90" s="1258"/>
      <c r="G90" s="1192"/>
      <c r="H90" s="1192"/>
      <c r="I90" s="1213" t="s">
        <v>15</v>
      </c>
      <c r="J90" s="1228">
        <f>J87+J17</f>
        <v>577873654.6400001</v>
      </c>
      <c r="K90" s="1213" t="s">
        <v>15</v>
      </c>
      <c r="L90" s="1228">
        <f>L87+L17</f>
        <v>414045351.62</v>
      </c>
      <c r="M90" s="1213" t="s">
        <v>15</v>
      </c>
      <c r="N90" s="1228">
        <f>N87+N17</f>
        <v>356732017.23999995</v>
      </c>
      <c r="O90" s="1213" t="s">
        <v>15</v>
      </c>
      <c r="P90" s="1228">
        <f>P87+P17</f>
        <v>770777368.86000001</v>
      </c>
      <c r="Q90" s="1213" t="s">
        <v>15</v>
      </c>
      <c r="R90" s="1228">
        <f>R87+R17</f>
        <v>545693746</v>
      </c>
      <c r="S90" s="1196">
        <v>161102960</v>
      </c>
      <c r="T90" s="1196">
        <f>R90-P90</f>
        <v>-225083622.86000001</v>
      </c>
    </row>
    <row r="91" spans="1:21" s="1187" customFormat="1" ht="12" customHeight="1">
      <c r="A91" s="1172"/>
      <c r="B91" s="1181"/>
      <c r="C91" s="783"/>
      <c r="D91" s="783"/>
      <c r="E91" s="783"/>
      <c r="F91" s="1182"/>
      <c r="G91" s="1192"/>
      <c r="H91" s="1192"/>
      <c r="I91" s="1216"/>
      <c r="J91" s="1217"/>
      <c r="K91" s="1229"/>
      <c r="L91" s="1229"/>
      <c r="M91" s="1230"/>
      <c r="N91" s="1217"/>
      <c r="O91" s="1229"/>
      <c r="P91" s="1229"/>
      <c r="Q91" s="1216"/>
      <c r="R91" s="1218"/>
      <c r="S91" s="1231">
        <f>R90-R85</f>
        <v>495693746</v>
      </c>
      <c r="T91" s="1186"/>
    </row>
    <row r="92" spans="1:21" ht="12" customHeight="1">
      <c r="A92" s="1172" t="s">
        <v>1747</v>
      </c>
      <c r="B92" s="33"/>
      <c r="C92" s="33"/>
      <c r="D92" s="33"/>
      <c r="E92" s="33"/>
      <c r="F92" s="23"/>
      <c r="G92" s="24"/>
      <c r="H92" s="24"/>
      <c r="I92" s="68"/>
      <c r="J92" s="1173"/>
      <c r="K92" s="1174"/>
      <c r="L92" s="1174"/>
      <c r="M92" s="1175"/>
      <c r="N92" s="1173"/>
      <c r="O92" s="1174"/>
      <c r="P92" s="1174"/>
      <c r="Q92" s="68"/>
      <c r="R92" s="1197"/>
    </row>
    <row r="93" spans="1:21" ht="12" customHeight="1">
      <c r="A93" s="1172"/>
      <c r="B93" s="783" t="s">
        <v>281</v>
      </c>
      <c r="C93" s="23"/>
      <c r="D93" s="33"/>
      <c r="E93" s="33"/>
      <c r="F93" s="23"/>
      <c r="G93" s="24"/>
      <c r="H93" s="24"/>
      <c r="I93" s="68"/>
      <c r="J93" s="1173"/>
      <c r="K93" s="1174"/>
      <c r="L93" s="1174"/>
      <c r="M93" s="1175"/>
      <c r="N93" s="1173"/>
      <c r="O93" s="1174"/>
      <c r="P93" s="1174"/>
      <c r="Q93" s="68"/>
      <c r="R93" s="1197"/>
    </row>
    <row r="94" spans="1:21" ht="12" customHeight="1">
      <c r="A94" s="1172"/>
      <c r="B94" s="783"/>
      <c r="C94" s="33" t="s">
        <v>1748</v>
      </c>
      <c r="D94" s="33"/>
      <c r="E94" s="33"/>
      <c r="F94" s="23"/>
      <c r="G94" s="24"/>
      <c r="H94" s="24"/>
      <c r="I94" s="68"/>
      <c r="J94" s="1173"/>
      <c r="K94" s="1174"/>
      <c r="L94" s="1174"/>
      <c r="M94" s="1175"/>
      <c r="N94" s="1173"/>
      <c r="O94" s="1174"/>
      <c r="P94" s="1174"/>
      <c r="Q94" s="68"/>
      <c r="R94" s="1197"/>
      <c r="U94" s="1232" t="s">
        <v>1749</v>
      </c>
    </row>
    <row r="95" spans="1:21" ht="12" customHeight="1">
      <c r="A95" s="1172"/>
      <c r="B95" s="33" t="s">
        <v>1750</v>
      </c>
      <c r="C95" s="33"/>
      <c r="D95" s="33"/>
      <c r="E95" s="33"/>
      <c r="F95" s="23"/>
      <c r="G95" s="29" t="s">
        <v>114</v>
      </c>
      <c r="H95" s="24"/>
      <c r="I95" s="68" t="s">
        <v>15</v>
      </c>
      <c r="J95" s="1173">
        <v>65879305.409999996</v>
      </c>
      <c r="K95" s="68" t="s">
        <v>15</v>
      </c>
      <c r="L95" s="1173">
        <f>'[1]jan.-june'!$AN$7</f>
        <v>35967074.43</v>
      </c>
      <c r="M95" s="68" t="s">
        <v>15</v>
      </c>
      <c r="N95" s="1173">
        <f>P95-L95</f>
        <v>39322221.57</v>
      </c>
      <c r="O95" s="68" t="s">
        <v>15</v>
      </c>
      <c r="P95" s="1173">
        <v>75289296</v>
      </c>
      <c r="Q95" s="68" t="s">
        <v>15</v>
      </c>
      <c r="R95" s="1173">
        <v>87193992</v>
      </c>
    </row>
    <row r="96" spans="1:21" ht="12" customHeight="1">
      <c r="A96" s="1172"/>
      <c r="B96" s="33" t="s">
        <v>1751</v>
      </c>
      <c r="C96" s="33"/>
      <c r="D96" s="33"/>
      <c r="E96" s="33"/>
      <c r="F96" s="23"/>
      <c r="G96" s="29" t="s">
        <v>115</v>
      </c>
      <c r="H96" s="24"/>
      <c r="I96" s="68"/>
      <c r="J96" s="1173">
        <v>19349215.629999999</v>
      </c>
      <c r="K96" s="1174"/>
      <c r="L96" s="1173">
        <f>'[1]jan.-june'!$AN$8</f>
        <v>15332912.010000002</v>
      </c>
      <c r="M96" s="1175"/>
      <c r="N96" s="1173">
        <f t="shared" ref="N96:N115" si="3">P96-L96</f>
        <v>17461575.989999998</v>
      </c>
      <c r="O96" s="1174"/>
      <c r="P96" s="1173">
        <v>32794488</v>
      </c>
      <c r="Q96" s="68"/>
      <c r="R96" s="1173">
        <v>35923452</v>
      </c>
    </row>
    <row r="97" spans="1:20" ht="12" customHeight="1">
      <c r="A97" s="1172"/>
      <c r="B97" s="33"/>
      <c r="C97" s="33" t="s">
        <v>1752</v>
      </c>
      <c r="D97" s="33"/>
      <c r="E97" s="33"/>
      <c r="F97" s="23"/>
      <c r="G97" s="29"/>
      <c r="H97" s="24"/>
      <c r="I97" s="68"/>
      <c r="J97" s="1173"/>
      <c r="K97" s="1174"/>
      <c r="L97" s="1174"/>
      <c r="M97" s="1175"/>
      <c r="N97" s="1173"/>
      <c r="O97" s="1174"/>
      <c r="P97" s="1197"/>
      <c r="Q97" s="68"/>
      <c r="R97" s="1197"/>
    </row>
    <row r="98" spans="1:20" ht="12" customHeight="1">
      <c r="A98" s="1172"/>
      <c r="B98" s="33" t="s">
        <v>1753</v>
      </c>
      <c r="C98" s="33"/>
      <c r="D98" s="33"/>
      <c r="E98" s="33"/>
      <c r="F98" s="23"/>
      <c r="G98" s="29" t="s">
        <v>116</v>
      </c>
      <c r="H98" s="24"/>
      <c r="I98" s="68"/>
      <c r="J98" s="1173">
        <v>6638970.3200000003</v>
      </c>
      <c r="K98" s="1174"/>
      <c r="L98" s="1173">
        <f>'[1]jan.-june'!$AN$9</f>
        <v>4252922.07</v>
      </c>
      <c r="M98" s="1175"/>
      <c r="N98" s="1173">
        <f>P98-L98</f>
        <v>5131077.93</v>
      </c>
      <c r="O98" s="1174"/>
      <c r="P98" s="1173">
        <v>9384000</v>
      </c>
      <c r="Q98" s="68"/>
      <c r="R98" s="1173">
        <v>10296000</v>
      </c>
    </row>
    <row r="99" spans="1:20" ht="12" customHeight="1">
      <c r="A99" s="1172"/>
      <c r="B99" s="33" t="s">
        <v>1754</v>
      </c>
      <c r="C99" s="23"/>
      <c r="D99" s="33"/>
      <c r="E99" s="33"/>
      <c r="F99" s="23"/>
      <c r="G99" s="29" t="s">
        <v>117</v>
      </c>
      <c r="H99" s="24"/>
      <c r="I99" s="68"/>
      <c r="J99" s="1173">
        <v>2335500</v>
      </c>
      <c r="K99" s="1174"/>
      <c r="L99" s="1173">
        <f>'[1]jan.-june'!$AN$10</f>
        <v>1215000</v>
      </c>
      <c r="M99" s="1175"/>
      <c r="N99" s="1173">
        <f>P99-L99</f>
        <v>1275000</v>
      </c>
      <c r="O99" s="1174"/>
      <c r="P99" s="1173">
        <v>2490000</v>
      </c>
      <c r="Q99" s="68"/>
      <c r="R99" s="1173">
        <v>2511000</v>
      </c>
    </row>
    <row r="100" spans="1:20" ht="12" customHeight="1">
      <c r="A100" s="1172"/>
      <c r="B100" s="33" t="s">
        <v>1755</v>
      </c>
      <c r="C100" s="32"/>
      <c r="D100" s="33"/>
      <c r="E100" s="33"/>
      <c r="F100" s="23"/>
      <c r="G100" s="29" t="s">
        <v>118</v>
      </c>
      <c r="H100" s="24"/>
      <c r="I100" s="68"/>
      <c r="J100" s="1173">
        <v>2335500</v>
      </c>
      <c r="K100" s="1174"/>
      <c r="L100" s="1173">
        <f>'[1]jan.-june'!$AN$11</f>
        <v>1215000</v>
      </c>
      <c r="M100" s="1175"/>
      <c r="N100" s="1173">
        <f t="shared" si="3"/>
        <v>1275000</v>
      </c>
      <c r="O100" s="1174"/>
      <c r="P100" s="1173">
        <v>2490000</v>
      </c>
      <c r="Q100" s="68"/>
      <c r="R100" s="1173">
        <v>2511000</v>
      </c>
    </row>
    <row r="101" spans="1:20" ht="12" customHeight="1">
      <c r="A101" s="1172"/>
      <c r="B101" s="33" t="s">
        <v>1756</v>
      </c>
      <c r="C101" s="32"/>
      <c r="D101" s="33"/>
      <c r="E101" s="33"/>
      <c r="F101" s="23"/>
      <c r="G101" s="29" t="s">
        <v>119</v>
      </c>
      <c r="H101" s="24"/>
      <c r="I101" s="68"/>
      <c r="J101" s="1173">
        <v>1644000</v>
      </c>
      <c r="K101" s="1174"/>
      <c r="L101" s="1173">
        <f>'[1]jan.-june'!$AN$12</f>
        <v>2136000</v>
      </c>
      <c r="M101" s="1175"/>
      <c r="N101" s="1173">
        <f t="shared" si="3"/>
        <v>210000</v>
      </c>
      <c r="O101" s="1174"/>
      <c r="P101" s="1173">
        <v>2346000</v>
      </c>
      <c r="Q101" s="68"/>
      <c r="R101" s="1173">
        <v>2574000</v>
      </c>
    </row>
    <row r="102" spans="1:20" ht="12" customHeight="1">
      <c r="A102" s="1172"/>
      <c r="B102" s="33" t="s">
        <v>1757</v>
      </c>
      <c r="C102" s="32"/>
      <c r="D102" s="33"/>
      <c r="E102" s="33"/>
      <c r="F102" s="23"/>
      <c r="G102" s="29" t="s">
        <v>157</v>
      </c>
      <c r="H102" s="24"/>
      <c r="I102" s="68"/>
      <c r="J102" s="1173">
        <v>587600</v>
      </c>
      <c r="K102" s="1174"/>
      <c r="L102" s="1173">
        <f>'[1]jan.-june'!$AN$13</f>
        <v>348614.88</v>
      </c>
      <c r="M102" s="1175"/>
      <c r="N102" s="1173">
        <f t="shared" si="3"/>
        <v>569385.12</v>
      </c>
      <c r="O102" s="1174"/>
      <c r="P102" s="1173">
        <v>918000</v>
      </c>
      <c r="Q102" s="68"/>
      <c r="R102" s="1173">
        <v>954000</v>
      </c>
    </row>
    <row r="103" spans="1:20" ht="12" customHeight="1">
      <c r="A103" s="1172"/>
      <c r="B103" s="33" t="s">
        <v>1758</v>
      </c>
      <c r="C103" s="32"/>
      <c r="D103" s="33"/>
      <c r="E103" s="33"/>
      <c r="F103" s="23"/>
      <c r="G103" s="29" t="s">
        <v>158</v>
      </c>
      <c r="H103" s="24"/>
      <c r="I103" s="68"/>
      <c r="J103" s="1173">
        <v>59400</v>
      </c>
      <c r="K103" s="1174"/>
      <c r="L103" s="1173">
        <f>'[1]jan.-june'!$AN$14</f>
        <v>35850</v>
      </c>
      <c r="M103" s="1175"/>
      <c r="N103" s="1173">
        <f t="shared" si="3"/>
        <v>48750</v>
      </c>
      <c r="O103" s="1174"/>
      <c r="P103" s="1173">
        <v>84600</v>
      </c>
      <c r="Q103" s="68"/>
      <c r="R103" s="1173">
        <v>90000</v>
      </c>
      <c r="T103" s="1161">
        <f>R68/R90</f>
        <v>0.70652220009133104</v>
      </c>
    </row>
    <row r="104" spans="1:20" ht="12" customHeight="1">
      <c r="A104" s="1172"/>
      <c r="B104" s="33" t="s">
        <v>1759</v>
      </c>
      <c r="C104" s="32"/>
      <c r="D104" s="33"/>
      <c r="E104" s="33"/>
      <c r="F104" s="23"/>
      <c r="G104" s="29" t="s">
        <v>159</v>
      </c>
      <c r="H104" s="24"/>
      <c r="I104" s="68"/>
      <c r="J104" s="1173">
        <v>2583580.36</v>
      </c>
      <c r="K104" s="1174"/>
      <c r="L104" s="1173">
        <f>'[1]jan.-june'!$AN$15</f>
        <v>1549589.39</v>
      </c>
      <c r="M104" s="1175"/>
      <c r="N104" s="1173">
        <f t="shared" si="3"/>
        <v>2144738.6100000003</v>
      </c>
      <c r="O104" s="1174"/>
      <c r="P104" s="1173">
        <v>3694328</v>
      </c>
      <c r="Q104" s="68"/>
      <c r="R104" s="1173">
        <v>4116127</v>
      </c>
      <c r="T104" s="1161">
        <f>T103*100</f>
        <v>70.652220009133103</v>
      </c>
    </row>
    <row r="105" spans="1:20" ht="12" customHeight="1">
      <c r="A105" s="1172"/>
      <c r="B105" s="33" t="s">
        <v>1760</v>
      </c>
      <c r="C105" s="32"/>
      <c r="D105" s="33"/>
      <c r="E105" s="33"/>
      <c r="F105" s="23"/>
      <c r="G105" s="29" t="s">
        <v>120</v>
      </c>
      <c r="H105" s="24"/>
      <c r="I105" s="68"/>
      <c r="J105" s="1173">
        <v>1442000</v>
      </c>
      <c r="K105" s="1174"/>
      <c r="L105" s="1173">
        <v>0</v>
      </c>
      <c r="M105" s="1175"/>
      <c r="N105" s="1173">
        <f t="shared" si="3"/>
        <v>1955000</v>
      </c>
      <c r="O105" s="1174"/>
      <c r="P105" s="1173">
        <v>1955000</v>
      </c>
      <c r="Q105" s="68"/>
      <c r="R105" s="1173">
        <v>2145000</v>
      </c>
    </row>
    <row r="106" spans="1:20" ht="12" customHeight="1">
      <c r="A106" s="1172"/>
      <c r="B106" s="33" t="s">
        <v>1761</v>
      </c>
      <c r="C106" s="32"/>
      <c r="D106" s="33"/>
      <c r="E106" s="33"/>
      <c r="F106" s="23"/>
      <c r="G106" s="29" t="s">
        <v>121</v>
      </c>
      <c r="H106" s="24"/>
      <c r="I106" s="68"/>
      <c r="J106" s="1173">
        <v>7103871.04</v>
      </c>
      <c r="K106" s="1174"/>
      <c r="L106" s="1174">
        <v>0</v>
      </c>
      <c r="M106" s="1175"/>
      <c r="N106" s="1173">
        <f t="shared" si="3"/>
        <v>9006982</v>
      </c>
      <c r="O106" s="1174"/>
      <c r="P106" s="1173">
        <v>9006982</v>
      </c>
      <c r="Q106" s="68"/>
      <c r="R106" s="1173">
        <v>10259787</v>
      </c>
    </row>
    <row r="107" spans="1:20" ht="12" customHeight="1">
      <c r="A107" s="1172"/>
      <c r="B107" s="33"/>
      <c r="C107" s="1233"/>
      <c r="D107" s="33" t="s">
        <v>1762</v>
      </c>
      <c r="E107" s="33"/>
      <c r="F107" s="23"/>
      <c r="G107" s="29" t="s">
        <v>258</v>
      </c>
      <c r="H107" s="24"/>
      <c r="I107" s="68"/>
      <c r="J107" s="1173"/>
      <c r="K107" s="1174"/>
      <c r="L107" s="1174"/>
      <c r="M107" s="1175"/>
      <c r="N107" s="1173"/>
      <c r="O107" s="1174"/>
      <c r="P107" s="1197"/>
      <c r="Q107" s="68"/>
      <c r="R107" s="1197"/>
    </row>
    <row r="108" spans="1:20" ht="12" customHeight="1">
      <c r="A108" s="1172"/>
      <c r="B108" s="33"/>
      <c r="C108" s="1233"/>
      <c r="D108" s="33"/>
      <c r="E108" s="1234" t="s">
        <v>1763</v>
      </c>
      <c r="F108" s="23"/>
      <c r="G108" s="29"/>
      <c r="H108" s="24"/>
      <c r="I108" s="68"/>
      <c r="J108" s="1173">
        <v>6760639.5099999998</v>
      </c>
      <c r="K108" s="1174"/>
      <c r="L108" s="1173">
        <f>'[1]jan.-june'!$AN$18</f>
        <v>8507123.6400000006</v>
      </c>
      <c r="M108" s="1175"/>
      <c r="N108" s="1173">
        <f t="shared" si="3"/>
        <v>499858.3599999994</v>
      </c>
      <c r="O108" s="1174"/>
      <c r="P108" s="1173">
        <v>9006982</v>
      </c>
      <c r="Q108" s="68"/>
      <c r="R108" s="1173">
        <v>10259787</v>
      </c>
    </row>
    <row r="109" spans="1:20" ht="12" customHeight="1">
      <c r="A109" s="1172"/>
      <c r="B109" s="33"/>
      <c r="C109" s="1233"/>
      <c r="D109" s="33"/>
      <c r="E109" s="1234" t="s">
        <v>1764</v>
      </c>
      <c r="F109" s="23"/>
      <c r="G109" s="29"/>
      <c r="H109" s="24"/>
      <c r="I109" s="68"/>
      <c r="J109" s="1173">
        <v>0</v>
      </c>
      <c r="K109" s="1174"/>
      <c r="L109" s="1174">
        <f>'[1]jan.-june'!$AN$19</f>
        <v>957000</v>
      </c>
      <c r="M109" s="1175"/>
      <c r="N109" s="1173">
        <f t="shared" si="3"/>
        <v>216000</v>
      </c>
      <c r="O109" s="1174"/>
      <c r="P109" s="1173">
        <v>1173000</v>
      </c>
      <c r="Q109" s="68"/>
      <c r="R109" s="1173">
        <v>0</v>
      </c>
    </row>
    <row r="110" spans="1:20" ht="12" customHeight="1">
      <c r="A110" s="1172"/>
      <c r="B110" s="33" t="s">
        <v>1765</v>
      </c>
      <c r="C110" s="23"/>
      <c r="D110" s="33"/>
      <c r="E110" s="33"/>
      <c r="F110" s="23"/>
      <c r="G110" s="29" t="s">
        <v>122</v>
      </c>
      <c r="H110" s="24"/>
      <c r="I110" s="68"/>
      <c r="J110" s="1173">
        <v>9819894.1500000004</v>
      </c>
      <c r="K110" s="1174"/>
      <c r="L110" s="1173">
        <f>'[1]jan.-june'!$AN$20</f>
        <v>6059388.0700000003</v>
      </c>
      <c r="M110" s="1175"/>
      <c r="N110" s="1173">
        <f t="shared" si="3"/>
        <v>6910676.9299999997</v>
      </c>
      <c r="O110" s="1174"/>
      <c r="P110" s="1173">
        <v>12970065</v>
      </c>
      <c r="Q110" s="68"/>
      <c r="R110" s="1173">
        <v>14774106</v>
      </c>
    </row>
    <row r="111" spans="1:20" ht="12" customHeight="1">
      <c r="A111" s="1172"/>
      <c r="B111" s="33" t="s">
        <v>1766</v>
      </c>
      <c r="C111" s="23"/>
      <c r="D111" s="33"/>
      <c r="E111" s="33"/>
      <c r="F111" s="23"/>
      <c r="G111" s="29" t="s">
        <v>123</v>
      </c>
      <c r="H111" s="24"/>
      <c r="I111" s="68"/>
      <c r="J111" s="1173">
        <v>1667591.89</v>
      </c>
      <c r="K111" s="1174"/>
      <c r="L111" s="1173">
        <f>'[1]jan.-june'!$AN$21</f>
        <v>341527.19</v>
      </c>
      <c r="M111" s="1175"/>
      <c r="N111" s="1173">
        <f t="shared" si="3"/>
        <v>1822744.81</v>
      </c>
      <c r="O111" s="1174"/>
      <c r="P111" s="1173">
        <v>2164272</v>
      </c>
      <c r="Q111" s="68"/>
      <c r="R111" s="1173">
        <v>514800</v>
      </c>
    </row>
    <row r="112" spans="1:20" ht="12" customHeight="1">
      <c r="A112" s="1172"/>
      <c r="B112" s="33" t="s">
        <v>1767</v>
      </c>
      <c r="C112" s="23"/>
      <c r="D112" s="33"/>
      <c r="E112" s="33"/>
      <c r="F112" s="23"/>
      <c r="G112" s="29" t="s">
        <v>124</v>
      </c>
      <c r="H112" s="24"/>
      <c r="I112" s="68"/>
      <c r="J112" s="1173">
        <v>1135113.29</v>
      </c>
      <c r="K112" s="1174"/>
      <c r="L112" s="1173">
        <f>'[1]jan.-june'!$AN$22</f>
        <v>752845.48999999987</v>
      </c>
      <c r="M112" s="1175"/>
      <c r="N112" s="1173">
        <f t="shared" si="3"/>
        <v>1388614.5100000002</v>
      </c>
      <c r="O112" s="1174"/>
      <c r="P112" s="1173">
        <v>2141460</v>
      </c>
      <c r="Q112" s="68"/>
      <c r="R112" s="1173">
        <v>2762700</v>
      </c>
    </row>
    <row r="113" spans="1:18" ht="12" customHeight="1">
      <c r="A113" s="1172"/>
      <c r="B113" s="33" t="s">
        <v>1768</v>
      </c>
      <c r="C113" s="23"/>
      <c r="D113" s="33"/>
      <c r="E113" s="33"/>
      <c r="F113" s="23"/>
      <c r="G113" s="29" t="s">
        <v>125</v>
      </c>
      <c r="H113" s="24"/>
      <c r="I113" s="68"/>
      <c r="J113" s="1173">
        <v>335600</v>
      </c>
      <c r="K113" s="1174"/>
      <c r="L113" s="1173">
        <f>'[1]jan.-june'!$AN$23</f>
        <v>216200</v>
      </c>
      <c r="M113" s="1175"/>
      <c r="N113" s="1173">
        <f t="shared" si="3"/>
        <v>253000</v>
      </c>
      <c r="O113" s="1174"/>
      <c r="P113" s="1173">
        <v>469200</v>
      </c>
      <c r="Q113" s="68"/>
      <c r="R113" s="1173">
        <v>514800</v>
      </c>
    </row>
    <row r="114" spans="1:18" ht="12" customHeight="1">
      <c r="A114" s="1172"/>
      <c r="B114" s="33" t="s">
        <v>1769</v>
      </c>
      <c r="C114" s="33"/>
      <c r="D114" s="33"/>
      <c r="E114" s="33"/>
      <c r="F114" s="23"/>
      <c r="G114" s="29" t="s">
        <v>160</v>
      </c>
      <c r="H114" s="24"/>
      <c r="I114" s="68"/>
      <c r="J114" s="1173">
        <v>1154238.31</v>
      </c>
      <c r="K114" s="1174"/>
      <c r="L114" s="1173">
        <f>'[1]jan.-june'!$AN$26</f>
        <v>7320224.96</v>
      </c>
      <c r="M114" s="1175"/>
      <c r="N114" s="1173">
        <f t="shared" si="3"/>
        <v>5762775.04</v>
      </c>
      <c r="O114" s="1174"/>
      <c r="P114" s="1173">
        <v>13083000</v>
      </c>
      <c r="Q114" s="68"/>
      <c r="R114" s="1173">
        <v>2366243</v>
      </c>
    </row>
    <row r="115" spans="1:18" ht="12" customHeight="1">
      <c r="A115" s="1172"/>
      <c r="B115" s="33" t="s">
        <v>1770</v>
      </c>
      <c r="C115" s="33"/>
      <c r="D115" s="33"/>
      <c r="E115" s="33"/>
      <c r="F115" s="23"/>
      <c r="G115" s="29" t="s">
        <v>819</v>
      </c>
      <c r="H115" s="24"/>
      <c r="I115" s="68"/>
      <c r="J115" s="1173">
        <v>0</v>
      </c>
      <c r="K115" s="1174"/>
      <c r="L115" s="1174">
        <v>0</v>
      </c>
      <c r="M115" s="1175"/>
      <c r="N115" s="1173">
        <f t="shared" si="3"/>
        <v>0</v>
      </c>
      <c r="O115" s="1174"/>
      <c r="P115" s="1197">
        <v>0</v>
      </c>
      <c r="Q115" s="68"/>
      <c r="R115" s="1197">
        <v>0</v>
      </c>
    </row>
    <row r="116" spans="1:18" ht="12" customHeight="1">
      <c r="A116" s="1172"/>
      <c r="B116" s="33" t="s">
        <v>1771</v>
      </c>
      <c r="C116" s="33"/>
      <c r="D116" s="33"/>
      <c r="E116" s="33"/>
      <c r="F116" s="23"/>
      <c r="G116" s="29" t="s">
        <v>161</v>
      </c>
      <c r="H116" s="24"/>
      <c r="I116" s="68"/>
      <c r="J116" s="1173"/>
      <c r="K116" s="1174"/>
      <c r="L116" s="1174"/>
      <c r="M116" s="1175"/>
      <c r="N116" s="1173"/>
      <c r="O116" s="1174"/>
      <c r="P116" s="1197"/>
      <c r="Q116" s="68"/>
      <c r="R116" s="1197"/>
    </row>
    <row r="117" spans="1:18" ht="12" customHeight="1">
      <c r="A117" s="1172"/>
      <c r="B117" s="33"/>
      <c r="C117" s="33"/>
      <c r="D117" s="33"/>
      <c r="E117" s="1234" t="s">
        <v>1772</v>
      </c>
      <c r="F117" s="24"/>
      <c r="G117" s="29"/>
      <c r="H117" s="24"/>
      <c r="I117" s="68"/>
      <c r="J117" s="1173">
        <v>8500000</v>
      </c>
      <c r="K117" s="1174"/>
      <c r="L117" s="1174">
        <f>'[2]January-June'!$AJ$28</f>
        <v>0</v>
      </c>
      <c r="M117" s="1175"/>
      <c r="N117" s="1173">
        <f t="shared" ref="N117:N123" si="4">P117-L117</f>
        <v>0</v>
      </c>
      <c r="O117" s="1174"/>
      <c r="P117" s="1197">
        <v>0</v>
      </c>
      <c r="Q117" s="68"/>
      <c r="R117" s="1197">
        <v>0</v>
      </c>
    </row>
    <row r="118" spans="1:18" ht="12" customHeight="1">
      <c r="A118" s="1172"/>
      <c r="B118" s="33"/>
      <c r="C118" s="33"/>
      <c r="D118" s="33"/>
      <c r="E118" s="1234" t="s">
        <v>1773</v>
      </c>
      <c r="F118" s="24"/>
      <c r="G118" s="29"/>
      <c r="H118" s="24"/>
      <c r="I118" s="68"/>
      <c r="J118" s="1173">
        <v>3316000</v>
      </c>
      <c r="K118" s="1174"/>
      <c r="L118" s="1174">
        <f>'[2]January-June'!$AJ$28</f>
        <v>0</v>
      </c>
      <c r="M118" s="1175"/>
      <c r="N118" s="1173">
        <f t="shared" si="4"/>
        <v>0</v>
      </c>
      <c r="O118" s="1174"/>
      <c r="P118" s="1197">
        <v>0</v>
      </c>
      <c r="Q118" s="68"/>
      <c r="R118" s="1197">
        <v>0</v>
      </c>
    </row>
    <row r="119" spans="1:18" ht="12" customHeight="1">
      <c r="A119" s="1172"/>
      <c r="B119" s="33"/>
      <c r="C119" s="33"/>
      <c r="D119" s="33"/>
      <c r="E119" s="1234" t="s">
        <v>1774</v>
      </c>
      <c r="F119" s="24"/>
      <c r="G119" s="29"/>
      <c r="H119" s="24"/>
      <c r="I119" s="62"/>
      <c r="J119" s="1173">
        <v>0</v>
      </c>
      <c r="K119" s="1175"/>
      <c r="L119" s="1173">
        <v>0</v>
      </c>
      <c r="M119" s="1175"/>
      <c r="N119" s="1173">
        <f t="shared" si="4"/>
        <v>5644470</v>
      </c>
      <c r="O119" s="1175"/>
      <c r="P119" s="1173">
        <v>5644470</v>
      </c>
      <c r="Q119" s="68"/>
      <c r="R119" s="1173">
        <v>5589016</v>
      </c>
    </row>
    <row r="120" spans="1:18" ht="12" customHeight="1">
      <c r="A120" s="1172"/>
      <c r="B120" s="33"/>
      <c r="C120" s="33"/>
      <c r="D120" s="33"/>
      <c r="E120" s="1234" t="s">
        <v>1775</v>
      </c>
      <c r="F120" s="24"/>
      <c r="G120" s="29"/>
      <c r="H120" s="24"/>
      <c r="I120" s="62"/>
      <c r="J120" s="1173">
        <v>1457000</v>
      </c>
      <c r="K120" s="1175"/>
      <c r="L120" s="1173">
        <v>0</v>
      </c>
      <c r="M120" s="1175"/>
      <c r="N120" s="1173">
        <f>P120-L120</f>
        <v>1955000</v>
      </c>
      <c r="O120" s="1175"/>
      <c r="P120" s="1173">
        <v>1955000</v>
      </c>
      <c r="Q120" s="68"/>
      <c r="R120" s="1173">
        <v>2145000</v>
      </c>
    </row>
    <row r="121" spans="1:18" ht="12" customHeight="1">
      <c r="A121" s="1172"/>
      <c r="B121" s="33"/>
      <c r="C121" s="33"/>
      <c r="D121" s="33"/>
      <c r="E121" s="1234" t="s">
        <v>1776</v>
      </c>
      <c r="F121" s="24"/>
      <c r="G121" s="29"/>
      <c r="H121" s="24"/>
      <c r="I121" s="62"/>
      <c r="J121" s="1173">
        <v>3814209.92</v>
      </c>
      <c r="K121" s="1175"/>
      <c r="L121" s="1173">
        <v>0</v>
      </c>
      <c r="M121" s="1175"/>
      <c r="N121" s="1173">
        <f t="shared" si="4"/>
        <v>0</v>
      </c>
      <c r="O121" s="1175"/>
      <c r="P121" s="1173">
        <v>0</v>
      </c>
      <c r="Q121" s="68"/>
      <c r="R121" s="1173">
        <v>0</v>
      </c>
    </row>
    <row r="122" spans="1:18" ht="12" customHeight="1">
      <c r="A122" s="1172"/>
      <c r="B122" s="33"/>
      <c r="C122" s="33"/>
      <c r="D122" s="33"/>
      <c r="E122" s="1234" t="s">
        <v>1777</v>
      </c>
      <c r="F122" s="23"/>
      <c r="G122" s="29"/>
      <c r="H122" s="24"/>
      <c r="I122" s="62"/>
      <c r="J122" s="1173">
        <v>0</v>
      </c>
      <c r="K122" s="1175"/>
      <c r="L122" s="1173">
        <f>'[1]jan.-june'!$AN$27</f>
        <v>35632.239999999998</v>
      </c>
      <c r="M122" s="1175"/>
      <c r="N122" s="1173">
        <f t="shared" si="4"/>
        <v>4739156.76</v>
      </c>
      <c r="O122" s="1174"/>
      <c r="P122" s="1173">
        <v>4774789</v>
      </c>
      <c r="Q122" s="68"/>
      <c r="R122" s="1173">
        <v>2690974</v>
      </c>
    </row>
    <row r="123" spans="1:18" ht="12" customHeight="1">
      <c r="A123" s="1172"/>
      <c r="B123" s="33"/>
      <c r="C123" s="33"/>
      <c r="D123" s="33"/>
      <c r="E123" s="1234" t="s">
        <v>1778</v>
      </c>
      <c r="F123" s="23"/>
      <c r="G123" s="29"/>
      <c r="H123" s="24"/>
      <c r="I123" s="68"/>
      <c r="J123" s="1173">
        <v>100000</v>
      </c>
      <c r="K123" s="1175"/>
      <c r="L123" s="1173">
        <f>'[1]jan.-june'!$AN$30</f>
        <v>110000</v>
      </c>
      <c r="M123" s="1175"/>
      <c r="N123" s="1173">
        <f t="shared" si="4"/>
        <v>25000</v>
      </c>
      <c r="O123" s="1174"/>
      <c r="P123" s="1173">
        <v>135000</v>
      </c>
      <c r="Q123" s="68"/>
      <c r="R123" s="1173">
        <v>135000</v>
      </c>
    </row>
    <row r="124" spans="1:18" ht="12" customHeight="1">
      <c r="A124" s="1259" t="s">
        <v>14</v>
      </c>
      <c r="B124" s="1260"/>
      <c r="C124" s="1260"/>
      <c r="D124" s="1260"/>
      <c r="E124" s="1260"/>
      <c r="F124" s="1261"/>
      <c r="G124" s="34"/>
      <c r="H124" s="73"/>
      <c r="I124" s="1213" t="s">
        <v>15</v>
      </c>
      <c r="J124" s="1219">
        <f>SUM(J95:J123)</f>
        <v>148019229.83000001</v>
      </c>
      <c r="K124" s="1213" t="s">
        <v>15</v>
      </c>
      <c r="L124" s="1219">
        <f>SUM(L95:L123)</f>
        <v>86352904.36999999</v>
      </c>
      <c r="M124" s="1213" t="s">
        <v>15</v>
      </c>
      <c r="N124" s="1219">
        <f>SUM(N95:N123)</f>
        <v>107617027.63000001</v>
      </c>
      <c r="O124" s="1213" t="s">
        <v>15</v>
      </c>
      <c r="P124" s="1219">
        <f>SUM(P95:P123)</f>
        <v>193969932</v>
      </c>
      <c r="Q124" s="1213" t="s">
        <v>15</v>
      </c>
      <c r="R124" s="1219">
        <f>SUM(R95:R123)</f>
        <v>200326784</v>
      </c>
    </row>
    <row r="125" spans="1:18" ht="12" customHeight="1">
      <c r="A125" s="1156"/>
      <c r="B125" s="1156"/>
      <c r="C125" s="1156"/>
      <c r="D125" s="1156"/>
      <c r="E125" s="1156"/>
      <c r="F125" s="1156"/>
      <c r="G125" s="1157"/>
      <c r="H125" s="33"/>
      <c r="I125" s="1235"/>
      <c r="J125" s="1225"/>
      <c r="K125" s="1235"/>
      <c r="L125" s="1225"/>
      <c r="M125" s="1235"/>
      <c r="N125" s="1225"/>
      <c r="O125" s="1235"/>
      <c r="P125" s="1236"/>
      <c r="Q125" s="1235"/>
      <c r="R125" s="1236"/>
    </row>
    <row r="126" spans="1:18" ht="12" customHeight="1">
      <c r="A126" s="1156"/>
      <c r="B126" s="1156"/>
      <c r="C126" s="1156"/>
      <c r="D126" s="1156"/>
      <c r="E126" s="1156"/>
      <c r="F126" s="1156"/>
      <c r="G126" s="1157"/>
      <c r="H126" s="33"/>
      <c r="I126" s="1235"/>
      <c r="J126" s="1225"/>
      <c r="K126" s="1235"/>
      <c r="L126" s="1225"/>
      <c r="M126" s="1235"/>
      <c r="N126" s="1225"/>
      <c r="O126" s="1235"/>
      <c r="P126" s="1236"/>
      <c r="Q126" s="1235"/>
      <c r="R126" s="1236"/>
    </row>
    <row r="127" spans="1:18" ht="12" customHeight="1">
      <c r="A127" s="1237"/>
      <c r="B127" s="1238" t="s">
        <v>282</v>
      </c>
      <c r="C127" s="14"/>
      <c r="D127" s="14"/>
      <c r="E127" s="14"/>
      <c r="F127" s="41"/>
      <c r="G127" s="1239"/>
      <c r="H127" s="1240"/>
      <c r="I127" s="1177"/>
      <c r="J127" s="1178"/>
      <c r="K127" s="1179"/>
      <c r="L127" s="1179"/>
      <c r="M127" s="1180"/>
      <c r="N127" s="1178"/>
      <c r="O127" s="1179"/>
      <c r="P127" s="1178"/>
      <c r="Q127" s="1177"/>
      <c r="R127" s="1178"/>
    </row>
    <row r="128" spans="1:18" ht="12" customHeight="1">
      <c r="A128" s="1172"/>
      <c r="B128" s="33" t="s">
        <v>41</v>
      </c>
      <c r="C128" s="33"/>
      <c r="D128" s="33"/>
      <c r="E128" s="33"/>
      <c r="F128" s="23"/>
      <c r="G128" s="29" t="s">
        <v>126</v>
      </c>
      <c r="H128" s="24"/>
      <c r="I128" s="68" t="s">
        <v>15</v>
      </c>
      <c r="J128" s="1173">
        <v>3156839.72</v>
      </c>
      <c r="K128" s="68" t="s">
        <v>15</v>
      </c>
      <c r="L128" s="1173">
        <f>'[1]jan.-june'!$AN$33</f>
        <v>3999952.99</v>
      </c>
      <c r="M128" s="68" t="s">
        <v>15</v>
      </c>
      <c r="N128" s="1173">
        <f>P128-L128</f>
        <v>8548679.0099999998</v>
      </c>
      <c r="O128" s="68" t="s">
        <v>15</v>
      </c>
      <c r="P128" s="1173">
        <v>12548632</v>
      </c>
      <c r="Q128" s="68" t="s">
        <v>15</v>
      </c>
      <c r="R128" s="1173">
        <v>10320908</v>
      </c>
    </row>
    <row r="129" spans="1:18" ht="12" customHeight="1">
      <c r="A129" s="1172"/>
      <c r="B129" s="33" t="s">
        <v>42</v>
      </c>
      <c r="C129" s="33"/>
      <c r="D129" s="33"/>
      <c r="E129" s="33"/>
      <c r="F129" s="23"/>
      <c r="G129" s="29" t="s">
        <v>127</v>
      </c>
      <c r="H129" s="24"/>
      <c r="I129" s="68"/>
      <c r="J129" s="1173">
        <v>1049923</v>
      </c>
      <c r="K129" s="1174"/>
      <c r="L129" s="1173">
        <f>'[1]jan.-june'!$AN$34</f>
        <v>2080551.66</v>
      </c>
      <c r="M129" s="1175"/>
      <c r="N129" s="1173">
        <f t="shared" ref="N129:N164" si="5">P129-L129</f>
        <v>5792690.3399999999</v>
      </c>
      <c r="O129" s="1174"/>
      <c r="P129" s="1173">
        <v>7873242</v>
      </c>
      <c r="Q129" s="68"/>
      <c r="R129" s="1173">
        <v>7024674</v>
      </c>
    </row>
    <row r="130" spans="1:18" ht="12" customHeight="1">
      <c r="A130" s="1172"/>
      <c r="B130" s="33" t="s">
        <v>28</v>
      </c>
      <c r="C130" s="33"/>
      <c r="D130" s="33"/>
      <c r="E130" s="33"/>
      <c r="F130" s="23"/>
      <c r="G130" s="29" t="s">
        <v>128</v>
      </c>
      <c r="H130" s="24"/>
      <c r="I130" s="68"/>
      <c r="J130" s="1173">
        <v>2918311.23</v>
      </c>
      <c r="K130" s="1174"/>
      <c r="L130" s="1173">
        <f>'[1]jan.-june'!$AN$35</f>
        <v>562892.9</v>
      </c>
      <c r="M130" s="1174"/>
      <c r="N130" s="1173">
        <f t="shared" si="5"/>
        <v>7587182.0999999996</v>
      </c>
      <c r="O130" s="1174"/>
      <c r="P130" s="1173">
        <v>8150075</v>
      </c>
      <c r="Q130" s="68"/>
      <c r="R130" s="1173">
        <v>6676912</v>
      </c>
    </row>
    <row r="131" spans="1:18" ht="12" customHeight="1">
      <c r="A131" s="1172"/>
      <c r="B131" s="33" t="s">
        <v>47</v>
      </c>
      <c r="C131" s="33"/>
      <c r="D131" s="33"/>
      <c r="E131" s="33"/>
      <c r="F131" s="33"/>
      <c r="G131" s="29" t="s">
        <v>165</v>
      </c>
      <c r="H131" s="23"/>
      <c r="I131" s="68"/>
      <c r="J131" s="1173">
        <v>491702.7</v>
      </c>
      <c r="K131" s="1174"/>
      <c r="L131" s="1173">
        <f>'[1]jan.-june'!$AN$36</f>
        <v>348320</v>
      </c>
      <c r="M131" s="1174"/>
      <c r="N131" s="1173">
        <f>P131-L131</f>
        <v>1373680</v>
      </c>
      <c r="O131" s="1174"/>
      <c r="P131" s="1173">
        <v>1722000</v>
      </c>
      <c r="Q131" s="68"/>
      <c r="R131" s="1173">
        <v>1890000</v>
      </c>
    </row>
    <row r="132" spans="1:18" ht="12" customHeight="1">
      <c r="A132" s="1172"/>
      <c r="B132" s="33" t="s">
        <v>1</v>
      </c>
      <c r="C132" s="33"/>
      <c r="D132" s="33"/>
      <c r="E132" s="33"/>
      <c r="F132" s="33"/>
      <c r="G132" s="29" t="s">
        <v>173</v>
      </c>
      <c r="H132" s="23"/>
      <c r="I132" s="62"/>
      <c r="J132" s="1173">
        <v>761308.21</v>
      </c>
      <c r="K132" s="1174"/>
      <c r="L132" s="1173">
        <f>'[1]jan.-june'!$AN$37</f>
        <v>661393</v>
      </c>
      <c r="M132" s="1174"/>
      <c r="N132" s="1173">
        <f>P132-L132</f>
        <v>4552107</v>
      </c>
      <c r="O132" s="1174"/>
      <c r="P132" s="1173">
        <v>5213500</v>
      </c>
      <c r="Q132" s="68"/>
      <c r="R132" s="1173">
        <v>4289036</v>
      </c>
    </row>
    <row r="133" spans="1:18" ht="12" customHeight="1">
      <c r="A133" s="1172"/>
      <c r="B133" s="33" t="s">
        <v>1779</v>
      </c>
      <c r="C133" s="33"/>
      <c r="D133" s="33"/>
      <c r="E133" s="33"/>
      <c r="F133" s="33"/>
      <c r="G133" s="29" t="s">
        <v>178</v>
      </c>
      <c r="H133" s="23"/>
      <c r="I133" s="62"/>
      <c r="J133" s="1173">
        <v>55605.86</v>
      </c>
      <c r="K133" s="62"/>
      <c r="L133" s="1173">
        <f>'[1]jan.-june'!$AN$39</f>
        <v>1378</v>
      </c>
      <c r="M133" s="62"/>
      <c r="N133" s="1173">
        <f>P133-L133</f>
        <v>98622</v>
      </c>
      <c r="O133" s="62"/>
      <c r="P133" s="1173">
        <v>100000</v>
      </c>
      <c r="Q133" s="68"/>
      <c r="R133" s="1173">
        <v>100000</v>
      </c>
    </row>
    <row r="134" spans="1:18" ht="12" customHeight="1">
      <c r="A134" s="1172"/>
      <c r="B134" s="33" t="s">
        <v>130</v>
      </c>
      <c r="C134" s="33"/>
      <c r="D134" s="33"/>
      <c r="E134" s="33"/>
      <c r="F134" s="33"/>
      <c r="G134" s="29" t="s">
        <v>129</v>
      </c>
      <c r="H134" s="23"/>
      <c r="I134" s="62"/>
      <c r="J134" s="1173">
        <v>10425941.99</v>
      </c>
      <c r="K134" s="62"/>
      <c r="L134" s="1173">
        <f>'[1]jan.-june'!$AN$38</f>
        <v>4673856.9499999993</v>
      </c>
      <c r="M134" s="62"/>
      <c r="N134" s="1173">
        <f>P134-L134</f>
        <v>13149043.050000001</v>
      </c>
      <c r="O134" s="62"/>
      <c r="P134" s="1173">
        <v>17822900</v>
      </c>
      <c r="Q134" s="68"/>
      <c r="R134" s="1173">
        <v>18120371</v>
      </c>
    </row>
    <row r="135" spans="1:18" ht="12" customHeight="1">
      <c r="A135" s="1172"/>
      <c r="B135" s="33" t="s">
        <v>179</v>
      </c>
      <c r="C135" s="33"/>
      <c r="D135" s="33"/>
      <c r="E135" s="33"/>
      <c r="F135" s="33"/>
      <c r="G135" s="29" t="s">
        <v>180</v>
      </c>
      <c r="H135" s="23"/>
      <c r="I135" s="68"/>
      <c r="J135" s="1173">
        <v>78079</v>
      </c>
      <c r="K135" s="1174"/>
      <c r="L135" s="1173">
        <f>'[1]jan.-june'!$AN$40</f>
        <v>0</v>
      </c>
      <c r="M135" s="1174"/>
      <c r="N135" s="1173">
        <f t="shared" si="5"/>
        <v>1077000</v>
      </c>
      <c r="O135" s="1174"/>
      <c r="P135" s="1173">
        <v>1077000</v>
      </c>
      <c r="Q135" s="68"/>
      <c r="R135" s="1173">
        <v>700000</v>
      </c>
    </row>
    <row r="136" spans="1:18" ht="12" customHeight="1">
      <c r="A136" s="1172"/>
      <c r="B136" s="33" t="s">
        <v>172</v>
      </c>
      <c r="C136" s="33"/>
      <c r="D136" s="33"/>
      <c r="E136" s="33"/>
      <c r="F136" s="33"/>
      <c r="G136" s="29" t="s">
        <v>171</v>
      </c>
      <c r="H136" s="23"/>
      <c r="I136" s="68"/>
      <c r="J136" s="1173">
        <v>5790.41</v>
      </c>
      <c r="K136" s="1174"/>
      <c r="L136" s="1173">
        <f>'[1]jan.-june'!$AN$41</f>
        <v>0</v>
      </c>
      <c r="M136" s="1175"/>
      <c r="N136" s="1173">
        <f t="shared" si="5"/>
        <v>22000</v>
      </c>
      <c r="O136" s="1174"/>
      <c r="P136" s="1173">
        <v>22000</v>
      </c>
      <c r="Q136" s="68"/>
      <c r="R136" s="1173">
        <v>10000</v>
      </c>
    </row>
    <row r="137" spans="1:18" ht="12" customHeight="1">
      <c r="A137" s="1172"/>
      <c r="B137" s="33" t="s">
        <v>29</v>
      </c>
      <c r="C137" s="33"/>
      <c r="D137" s="33"/>
      <c r="E137" s="33"/>
      <c r="F137" s="33"/>
      <c r="G137" s="29" t="s">
        <v>166</v>
      </c>
      <c r="H137" s="23"/>
      <c r="I137" s="68"/>
      <c r="J137" s="1173">
        <v>613368.25</v>
      </c>
      <c r="K137" s="1174"/>
      <c r="L137" s="1173">
        <f>'[1]jan.-june'!$AN$42</f>
        <v>648288.4</v>
      </c>
      <c r="M137" s="1175"/>
      <c r="N137" s="1173">
        <f t="shared" si="5"/>
        <v>2251711.6</v>
      </c>
      <c r="O137" s="1174"/>
      <c r="P137" s="1173">
        <v>2900000</v>
      </c>
      <c r="Q137" s="68"/>
      <c r="R137" s="1173">
        <v>3750000</v>
      </c>
    </row>
    <row r="138" spans="1:18" ht="12" customHeight="1">
      <c r="A138" s="1172"/>
      <c r="B138" s="33" t="s">
        <v>46</v>
      </c>
      <c r="C138" s="33"/>
      <c r="D138" s="33"/>
      <c r="E138" s="33"/>
      <c r="F138" s="23"/>
      <c r="G138" s="29" t="s">
        <v>167</v>
      </c>
      <c r="H138" s="24"/>
      <c r="I138" s="68"/>
      <c r="J138" s="1173">
        <v>11669953.960000001</v>
      </c>
      <c r="K138" s="1174"/>
      <c r="L138" s="1173">
        <f>'[1]jan.-june'!$AN$43</f>
        <v>6887681.6200000001</v>
      </c>
      <c r="M138" s="1175"/>
      <c r="N138" s="1173">
        <f t="shared" si="5"/>
        <v>8112318.3799999999</v>
      </c>
      <c r="O138" s="1174"/>
      <c r="P138" s="1173">
        <v>15000000</v>
      </c>
      <c r="Q138" s="68"/>
      <c r="R138" s="1173">
        <v>15550000</v>
      </c>
    </row>
    <row r="139" spans="1:18" ht="12" customHeight="1">
      <c r="A139" s="1172"/>
      <c r="B139" s="33" t="s">
        <v>175</v>
      </c>
      <c r="C139" s="33"/>
      <c r="D139" s="33"/>
      <c r="E139" s="33"/>
      <c r="F139" s="33"/>
      <c r="G139" s="29" t="s">
        <v>174</v>
      </c>
      <c r="H139" s="23"/>
      <c r="I139" s="62"/>
      <c r="J139" s="1173">
        <v>6274107.4199999999</v>
      </c>
      <c r="K139" s="62"/>
      <c r="L139" s="1173">
        <f>'[1]jan.-june'!$AN$44</f>
        <v>1029780.8099999999</v>
      </c>
      <c r="M139" s="68"/>
      <c r="N139" s="1173">
        <f>P139-L139</f>
        <v>9199969.1899999995</v>
      </c>
      <c r="O139" s="62"/>
      <c r="P139" s="1173">
        <v>10229750</v>
      </c>
      <c r="Q139" s="68"/>
      <c r="R139" s="1173">
        <v>6644753</v>
      </c>
    </row>
    <row r="140" spans="1:18" ht="12" customHeight="1">
      <c r="A140" s="1172"/>
      <c r="B140" s="33" t="s">
        <v>132</v>
      </c>
      <c r="C140" s="33"/>
      <c r="D140" s="33"/>
      <c r="E140" s="33"/>
      <c r="F140" s="23"/>
      <c r="G140" s="29" t="s">
        <v>131</v>
      </c>
      <c r="H140" s="24"/>
      <c r="I140" s="68"/>
      <c r="J140" s="1173">
        <v>15046</v>
      </c>
      <c r="K140" s="1174"/>
      <c r="L140" s="1173">
        <f>'[1]jan.-june'!$AN$45</f>
        <v>3540</v>
      </c>
      <c r="M140" s="1175"/>
      <c r="N140" s="1173">
        <f t="shared" si="5"/>
        <v>70960</v>
      </c>
      <c r="O140" s="1174"/>
      <c r="P140" s="1173">
        <v>74500</v>
      </c>
      <c r="Q140" s="68"/>
      <c r="R140" s="1173">
        <v>42842</v>
      </c>
    </row>
    <row r="141" spans="1:18" ht="12" customHeight="1">
      <c r="A141" s="1172"/>
      <c r="B141" s="33" t="s">
        <v>163</v>
      </c>
      <c r="C141" s="33"/>
      <c r="D141" s="33"/>
      <c r="E141" s="33"/>
      <c r="F141" s="23"/>
      <c r="G141" s="29" t="s">
        <v>133</v>
      </c>
      <c r="H141" s="24"/>
      <c r="I141" s="68"/>
      <c r="J141" s="1173">
        <v>858259.75</v>
      </c>
      <c r="K141" s="1174"/>
      <c r="L141" s="1173">
        <f>'[1]jan.-june'!$AN$46</f>
        <v>375290.3</v>
      </c>
      <c r="M141" s="1175"/>
      <c r="N141" s="1173">
        <f t="shared" si="5"/>
        <v>1006709.7</v>
      </c>
      <c r="O141" s="1174"/>
      <c r="P141" s="1173">
        <v>1382000</v>
      </c>
      <c r="Q141" s="68"/>
      <c r="R141" s="1173">
        <v>1369000</v>
      </c>
    </row>
    <row r="142" spans="1:18" ht="12" customHeight="1">
      <c r="A142" s="1172"/>
      <c r="B142" s="33" t="s">
        <v>135</v>
      </c>
      <c r="C142" s="33"/>
      <c r="D142" s="33"/>
      <c r="E142" s="33"/>
      <c r="F142" s="23"/>
      <c r="G142" s="29" t="s">
        <v>134</v>
      </c>
      <c r="H142" s="24"/>
      <c r="I142" s="68"/>
      <c r="J142" s="1173">
        <v>810653.05</v>
      </c>
      <c r="K142" s="1174"/>
      <c r="L142" s="1173">
        <f>'[1]jan.-june'!$AN$47</f>
        <v>451412.62</v>
      </c>
      <c r="M142" s="1175"/>
      <c r="N142" s="1173">
        <f t="shared" si="5"/>
        <v>984387.38</v>
      </c>
      <c r="O142" s="1174"/>
      <c r="P142" s="1173">
        <v>1435800</v>
      </c>
      <c r="Q142" s="68"/>
      <c r="R142" s="1173">
        <v>1414800</v>
      </c>
    </row>
    <row r="143" spans="1:18" ht="12" customHeight="1">
      <c r="A143" s="1172"/>
      <c r="B143" s="33" t="s">
        <v>1780</v>
      </c>
      <c r="C143" s="33"/>
      <c r="D143" s="33"/>
      <c r="E143" s="33"/>
      <c r="F143" s="23"/>
      <c r="G143" s="29" t="s">
        <v>182</v>
      </c>
      <c r="H143" s="24"/>
      <c r="I143" s="68"/>
      <c r="J143" s="1173">
        <v>2550</v>
      </c>
      <c r="K143" s="1174"/>
      <c r="L143" s="1173">
        <f>'[1]jan.-june'!$AN$48</f>
        <v>2450</v>
      </c>
      <c r="M143" s="1175"/>
      <c r="N143" s="1173">
        <f>P143-L143</f>
        <v>31050</v>
      </c>
      <c r="O143" s="1174"/>
      <c r="P143" s="1173">
        <v>33500</v>
      </c>
      <c r="Q143" s="68"/>
      <c r="R143" s="1173">
        <v>13500</v>
      </c>
    </row>
    <row r="144" spans="1:18" ht="12" customHeight="1">
      <c r="A144" s="1172"/>
      <c r="B144" s="33" t="s">
        <v>43</v>
      </c>
      <c r="C144" s="33"/>
      <c r="D144" s="33"/>
      <c r="E144" s="33"/>
      <c r="F144" s="23"/>
      <c r="G144" s="29" t="s">
        <v>136</v>
      </c>
      <c r="H144" s="24"/>
      <c r="I144" s="68"/>
      <c r="J144" s="1173">
        <v>222000</v>
      </c>
      <c r="K144" s="1174"/>
      <c r="L144" s="1173">
        <f>'[1]jan.-june'!$AN$49</f>
        <v>101500</v>
      </c>
      <c r="M144" s="1175"/>
      <c r="N144" s="1173">
        <f t="shared" si="5"/>
        <v>448500</v>
      </c>
      <c r="O144" s="1174"/>
      <c r="P144" s="1173">
        <v>550000</v>
      </c>
      <c r="Q144" s="68"/>
      <c r="R144" s="1173">
        <v>400153</v>
      </c>
    </row>
    <row r="145" spans="1:18" ht="12" customHeight="1">
      <c r="A145" s="1172"/>
      <c r="B145" s="33" t="s">
        <v>138</v>
      </c>
      <c r="C145" s="33"/>
      <c r="D145" s="33"/>
      <c r="E145" s="33"/>
      <c r="F145" s="23"/>
      <c r="G145" s="29" t="s">
        <v>137</v>
      </c>
      <c r="H145" s="24"/>
      <c r="I145" s="68"/>
      <c r="J145" s="1173">
        <v>446959</v>
      </c>
      <c r="K145" s="1174"/>
      <c r="L145" s="1173">
        <f>'[1]jan.-june'!$AN$50</f>
        <v>26266</v>
      </c>
      <c r="M145" s="1175"/>
      <c r="N145" s="1173">
        <f t="shared" si="5"/>
        <v>862977</v>
      </c>
      <c r="O145" s="1174"/>
      <c r="P145" s="1173">
        <v>889243</v>
      </c>
      <c r="Q145" s="68"/>
      <c r="R145" s="1173">
        <v>632909</v>
      </c>
    </row>
    <row r="146" spans="1:18" ht="12" customHeight="1">
      <c r="A146" s="1172"/>
      <c r="B146" s="33" t="s">
        <v>0</v>
      </c>
      <c r="C146" s="33"/>
      <c r="D146" s="33"/>
      <c r="E146" s="33"/>
      <c r="F146" s="23"/>
      <c r="G146" s="29" t="s">
        <v>164</v>
      </c>
      <c r="H146" s="24"/>
      <c r="I146" s="68"/>
      <c r="J146" s="1173">
        <v>378000</v>
      </c>
      <c r="K146" s="1174"/>
      <c r="L146" s="1173">
        <f>'[1]jan.-june'!$AN$51</f>
        <v>183528</v>
      </c>
      <c r="M146" s="1175"/>
      <c r="N146" s="1173">
        <f>P146-L146</f>
        <v>836472</v>
      </c>
      <c r="O146" s="1174"/>
      <c r="P146" s="1173">
        <v>1020000</v>
      </c>
      <c r="Q146" s="68"/>
      <c r="R146" s="1173">
        <v>1185530</v>
      </c>
    </row>
    <row r="147" spans="1:18" ht="12" customHeight="1">
      <c r="A147" s="1172"/>
      <c r="B147" s="33" t="s">
        <v>37</v>
      </c>
      <c r="C147" s="23"/>
      <c r="D147" s="33"/>
      <c r="E147" s="33"/>
      <c r="F147" s="23"/>
      <c r="G147" s="29" t="s">
        <v>139</v>
      </c>
      <c r="H147" s="24"/>
      <c r="I147" s="68"/>
      <c r="J147" s="1173">
        <v>27293.62</v>
      </c>
      <c r="K147" s="1174"/>
      <c r="L147" s="1173">
        <f>'[1]jan.-june'!$AN$53</f>
        <v>12779</v>
      </c>
      <c r="M147" s="1175"/>
      <c r="N147" s="1173">
        <f>P147-L147</f>
        <v>131221</v>
      </c>
      <c r="O147" s="1174"/>
      <c r="P147" s="1173">
        <v>144000</v>
      </c>
      <c r="Q147" s="68"/>
      <c r="R147" s="1173">
        <v>136765</v>
      </c>
    </row>
    <row r="148" spans="1:18" ht="12" customHeight="1">
      <c r="A148" s="1172"/>
      <c r="B148" s="33" t="s">
        <v>32</v>
      </c>
      <c r="C148" s="23"/>
      <c r="D148" s="33"/>
      <c r="E148" s="33"/>
      <c r="F148" s="23"/>
      <c r="G148" s="29" t="s">
        <v>140</v>
      </c>
      <c r="H148" s="24"/>
      <c r="I148" s="68"/>
      <c r="J148" s="1173">
        <v>4750</v>
      </c>
      <c r="K148" s="1174"/>
      <c r="L148" s="1173">
        <f>'[1]jan.-june'!$AN$54</f>
        <v>2400</v>
      </c>
      <c r="M148" s="1175"/>
      <c r="N148" s="1173">
        <f t="shared" si="5"/>
        <v>42600</v>
      </c>
      <c r="O148" s="1174"/>
      <c r="P148" s="1173">
        <v>45000</v>
      </c>
      <c r="Q148" s="68"/>
      <c r="R148" s="1173">
        <v>12000</v>
      </c>
    </row>
    <row r="149" spans="1:18" ht="12" customHeight="1">
      <c r="A149" s="1172"/>
      <c r="B149" s="33" t="s">
        <v>1781</v>
      </c>
      <c r="C149" s="23"/>
      <c r="D149" s="33"/>
      <c r="E149" s="33"/>
      <c r="F149" s="23"/>
      <c r="G149" s="29" t="s">
        <v>170</v>
      </c>
      <c r="H149" s="24"/>
      <c r="I149" s="68"/>
      <c r="J149" s="1173">
        <v>238483.38</v>
      </c>
      <c r="K149" s="1174"/>
      <c r="L149" s="1173">
        <f>'[1]jan.-june'!$AN$55</f>
        <v>59283.92</v>
      </c>
      <c r="M149" s="1175"/>
      <c r="N149" s="1173">
        <f t="shared" si="5"/>
        <v>290716.08</v>
      </c>
      <c r="O149" s="1174"/>
      <c r="P149" s="1173">
        <v>350000</v>
      </c>
      <c r="Q149" s="68"/>
      <c r="R149" s="1173">
        <v>300000</v>
      </c>
    </row>
    <row r="150" spans="1:18" ht="12" customHeight="1">
      <c r="A150" s="1172"/>
      <c r="B150" s="33" t="s">
        <v>1782</v>
      </c>
      <c r="C150" s="33"/>
      <c r="D150" s="33"/>
      <c r="E150" s="33"/>
      <c r="F150" s="23"/>
      <c r="G150" s="29" t="s">
        <v>176</v>
      </c>
      <c r="H150" s="24"/>
      <c r="I150" s="68"/>
      <c r="J150" s="1173">
        <v>913858.74</v>
      </c>
      <c r="K150" s="1174"/>
      <c r="L150" s="1173">
        <f>'[1]jan.-june'!$AN$57</f>
        <v>264513.83999999997</v>
      </c>
      <c r="M150" s="1175"/>
      <c r="N150" s="1173">
        <f t="shared" si="5"/>
        <v>3965486.16</v>
      </c>
      <c r="O150" s="1174"/>
      <c r="P150" s="1173">
        <v>4230000</v>
      </c>
      <c r="Q150" s="68"/>
      <c r="R150" s="1173">
        <v>2742700</v>
      </c>
    </row>
    <row r="151" spans="1:18" ht="12" customHeight="1">
      <c r="A151" s="1172"/>
      <c r="B151" s="33" t="s">
        <v>1783</v>
      </c>
      <c r="C151" s="33"/>
      <c r="D151" s="33"/>
      <c r="E151" s="33"/>
      <c r="F151" s="23"/>
      <c r="G151" s="29" t="s">
        <v>1302</v>
      </c>
      <c r="H151" s="24"/>
      <c r="I151" s="68"/>
      <c r="J151" s="1173">
        <v>0</v>
      </c>
      <c r="K151" s="1174"/>
      <c r="L151" s="1173">
        <v>0</v>
      </c>
      <c r="M151" s="1175"/>
      <c r="N151" s="1173">
        <f>P151-L151</f>
        <v>0</v>
      </c>
      <c r="O151" s="1174"/>
      <c r="P151" s="1173">
        <v>0</v>
      </c>
      <c r="Q151" s="68"/>
      <c r="R151" s="1173">
        <v>0</v>
      </c>
    </row>
    <row r="152" spans="1:18" ht="12" customHeight="1">
      <c r="A152" s="1172"/>
      <c r="B152" s="33" t="s">
        <v>256</v>
      </c>
      <c r="C152" s="33"/>
      <c r="D152" s="33"/>
      <c r="E152" s="33"/>
      <c r="F152" s="23"/>
      <c r="G152" s="29" t="s">
        <v>141</v>
      </c>
      <c r="H152" s="24"/>
      <c r="I152" s="68"/>
      <c r="J152" s="1173">
        <v>257549</v>
      </c>
      <c r="K152" s="1174"/>
      <c r="L152" s="1173">
        <f>'[1]jan.-june'!$AN$56</f>
        <v>131340</v>
      </c>
      <c r="M152" s="1175"/>
      <c r="N152" s="1173">
        <f t="shared" si="5"/>
        <v>2016660</v>
      </c>
      <c r="O152" s="1174"/>
      <c r="P152" s="1173">
        <v>2148000</v>
      </c>
      <c r="Q152" s="68"/>
      <c r="R152" s="1173">
        <v>1926922</v>
      </c>
    </row>
    <row r="153" spans="1:18" ht="12" customHeight="1">
      <c r="A153" s="1172"/>
      <c r="B153" s="33" t="s">
        <v>30</v>
      </c>
      <c r="C153" s="23"/>
      <c r="D153" s="33"/>
      <c r="E153" s="33"/>
      <c r="F153" s="23"/>
      <c r="G153" s="29" t="s">
        <v>143</v>
      </c>
      <c r="H153" s="24"/>
      <c r="I153" s="68"/>
      <c r="J153" s="1173">
        <v>2500</v>
      </c>
      <c r="K153" s="1174"/>
      <c r="L153" s="1173">
        <f>'[1]jan.-june'!$AN$58</f>
        <v>0</v>
      </c>
      <c r="M153" s="1175"/>
      <c r="N153" s="1173">
        <f t="shared" si="5"/>
        <v>99000</v>
      </c>
      <c r="O153" s="1174"/>
      <c r="P153" s="1173">
        <v>99000</v>
      </c>
      <c r="Q153" s="68"/>
      <c r="R153" s="1173">
        <v>58000</v>
      </c>
    </row>
    <row r="154" spans="1:18" ht="12" customHeight="1">
      <c r="A154" s="1172"/>
      <c r="B154" s="33" t="s">
        <v>145</v>
      </c>
      <c r="C154" s="23"/>
      <c r="D154" s="33"/>
      <c r="E154" s="33"/>
      <c r="F154" s="23"/>
      <c r="G154" s="29" t="s">
        <v>144</v>
      </c>
      <c r="H154" s="24"/>
      <c r="I154" s="68"/>
      <c r="J154" s="1173">
        <v>3646124.57</v>
      </c>
      <c r="K154" s="1174"/>
      <c r="L154" s="1173">
        <f>'[1]jan.-june'!$AN$59</f>
        <v>715334.1100000001</v>
      </c>
      <c r="M154" s="1175"/>
      <c r="N154" s="1173">
        <f t="shared" si="5"/>
        <v>8888965.8900000006</v>
      </c>
      <c r="O154" s="1174"/>
      <c r="P154" s="1173">
        <v>9604300</v>
      </c>
      <c r="Q154" s="68"/>
      <c r="R154" s="1173">
        <v>7904022</v>
      </c>
    </row>
    <row r="155" spans="1:18" ht="12" customHeight="1">
      <c r="A155" s="1172"/>
      <c r="B155" s="33" t="s">
        <v>31</v>
      </c>
      <c r="C155" s="23"/>
      <c r="D155" s="33"/>
      <c r="E155" s="33"/>
      <c r="F155" s="23"/>
      <c r="G155" s="29" t="s">
        <v>146</v>
      </c>
      <c r="H155" s="24"/>
      <c r="I155" s="68"/>
      <c r="J155" s="1173">
        <v>10619864.130000001</v>
      </c>
      <c r="K155" s="1174"/>
      <c r="L155" s="1173">
        <f>'[1]jan.-june'!$AN$60</f>
        <v>3952514.66</v>
      </c>
      <c r="M155" s="1175"/>
      <c r="N155" s="1173">
        <f t="shared" si="5"/>
        <v>6897485.3399999999</v>
      </c>
      <c r="O155" s="1174"/>
      <c r="P155" s="1173">
        <v>10850000</v>
      </c>
      <c r="Q155" s="68"/>
      <c r="R155" s="1173">
        <v>9219964</v>
      </c>
    </row>
    <row r="156" spans="1:18" ht="12" customHeight="1">
      <c r="A156" s="1172"/>
      <c r="B156" s="33" t="s">
        <v>45</v>
      </c>
      <c r="C156" s="23"/>
      <c r="D156" s="33"/>
      <c r="E156" s="33"/>
      <c r="F156" s="23"/>
      <c r="G156" s="29" t="s">
        <v>147</v>
      </c>
      <c r="H156" s="24"/>
      <c r="I156" s="68"/>
      <c r="J156" s="1173">
        <v>0</v>
      </c>
      <c r="K156" s="1174"/>
      <c r="L156" s="1173">
        <f>'[1]jan.-june'!$AN$61</f>
        <v>0</v>
      </c>
      <c r="M156" s="1175"/>
      <c r="N156" s="1173">
        <f t="shared" si="5"/>
        <v>2382540</v>
      </c>
      <c r="O156" s="1174"/>
      <c r="P156" s="1173">
        <v>2382540</v>
      </c>
      <c r="Q156" s="68"/>
      <c r="R156" s="1173">
        <v>2382540</v>
      </c>
    </row>
    <row r="157" spans="1:18" ht="12" customHeight="1">
      <c r="A157" s="1172"/>
      <c r="B157" s="33" t="s">
        <v>1784</v>
      </c>
      <c r="C157" s="23"/>
      <c r="D157" s="33"/>
      <c r="E157" s="33"/>
      <c r="F157" s="23"/>
      <c r="G157" s="29" t="s">
        <v>162</v>
      </c>
      <c r="H157" s="24"/>
      <c r="I157" s="68"/>
      <c r="J157" s="1173">
        <v>123233</v>
      </c>
      <c r="K157" s="1174"/>
      <c r="L157" s="1173">
        <f>'[1]jan.-june'!$AN$62</f>
        <v>79000</v>
      </c>
      <c r="M157" s="1175"/>
      <c r="N157" s="1173">
        <f t="shared" si="5"/>
        <v>96100</v>
      </c>
      <c r="O157" s="1174"/>
      <c r="P157" s="1173">
        <v>175100</v>
      </c>
      <c r="Q157" s="68"/>
      <c r="R157" s="1173">
        <v>195000</v>
      </c>
    </row>
    <row r="158" spans="1:18" ht="12" customHeight="1">
      <c r="A158" s="1172"/>
      <c r="B158" s="33" t="s">
        <v>36</v>
      </c>
      <c r="C158" s="23"/>
      <c r="D158" s="33"/>
      <c r="E158" s="33"/>
      <c r="F158" s="23"/>
      <c r="G158" s="29" t="s">
        <v>169</v>
      </c>
      <c r="H158" s="24"/>
      <c r="I158" s="68"/>
      <c r="J158" s="1173">
        <v>105425</v>
      </c>
      <c r="K158" s="1174"/>
      <c r="L158" s="1173">
        <f>'[1]jan.-june'!$AN$63</f>
        <v>1800</v>
      </c>
      <c r="M158" s="1175"/>
      <c r="N158" s="1173">
        <f t="shared" si="5"/>
        <v>148200</v>
      </c>
      <c r="O158" s="1174"/>
      <c r="P158" s="1173">
        <v>150000</v>
      </c>
      <c r="Q158" s="68"/>
      <c r="R158" s="1173">
        <v>150000</v>
      </c>
    </row>
    <row r="159" spans="1:18" ht="12" customHeight="1">
      <c r="A159" s="1172"/>
      <c r="B159" s="33" t="s">
        <v>1785</v>
      </c>
      <c r="C159" s="23"/>
      <c r="D159" s="33"/>
      <c r="E159" s="33"/>
      <c r="F159" s="23"/>
      <c r="G159" s="29" t="s">
        <v>653</v>
      </c>
      <c r="H159" s="24"/>
      <c r="I159" s="68"/>
      <c r="J159" s="1173">
        <v>2400000</v>
      </c>
      <c r="K159" s="1174"/>
      <c r="L159" s="1173">
        <v>0</v>
      </c>
      <c r="M159" s="1175"/>
      <c r="N159" s="1173">
        <f t="shared" si="5"/>
        <v>0</v>
      </c>
      <c r="O159" s="1174"/>
      <c r="P159" s="1173">
        <v>0</v>
      </c>
      <c r="Q159" s="68"/>
      <c r="R159" s="1173">
        <v>1021000</v>
      </c>
    </row>
    <row r="160" spans="1:18" ht="12" customHeight="1">
      <c r="A160" s="1172"/>
      <c r="B160" s="33" t="s">
        <v>1786</v>
      </c>
      <c r="C160" s="23"/>
      <c r="D160" s="33"/>
      <c r="E160" s="33"/>
      <c r="F160" s="23"/>
      <c r="G160" s="29" t="s">
        <v>1404</v>
      </c>
      <c r="H160" s="24"/>
      <c r="I160" s="68"/>
      <c r="J160" s="1173">
        <v>1200000</v>
      </c>
      <c r="K160" s="1174"/>
      <c r="L160" s="1173">
        <v>0</v>
      </c>
      <c r="M160" s="1175"/>
      <c r="N160" s="1173">
        <f t="shared" si="5"/>
        <v>0</v>
      </c>
      <c r="O160" s="1174"/>
      <c r="P160" s="1173">
        <v>0</v>
      </c>
      <c r="Q160" s="68"/>
      <c r="R160" s="1173">
        <v>0</v>
      </c>
    </row>
    <row r="161" spans="1:20" ht="12" customHeight="1">
      <c r="A161" s="1172"/>
      <c r="B161" s="33" t="s">
        <v>44</v>
      </c>
      <c r="C161" s="23"/>
      <c r="D161" s="33"/>
      <c r="E161" s="33"/>
      <c r="F161" s="23"/>
      <c r="G161" s="29" t="s">
        <v>168</v>
      </c>
      <c r="H161" s="24"/>
      <c r="I161" s="68"/>
      <c r="J161" s="1173">
        <v>1232456.8799999999</v>
      </c>
      <c r="K161" s="1174"/>
      <c r="L161" s="1173">
        <f>'[1]jan.-june'!$AN$65</f>
        <v>238646.42000000004</v>
      </c>
      <c r="M161" s="1175"/>
      <c r="N161" s="1173">
        <f t="shared" si="5"/>
        <v>5761353.5800000001</v>
      </c>
      <c r="O161" s="1174"/>
      <c r="P161" s="1173">
        <v>6000000</v>
      </c>
      <c r="Q161" s="68"/>
      <c r="R161" s="1173">
        <v>6000000</v>
      </c>
    </row>
    <row r="162" spans="1:20" ht="12" customHeight="1">
      <c r="A162" s="1172"/>
      <c r="B162" s="33" t="s">
        <v>1787</v>
      </c>
      <c r="C162" s="33"/>
      <c r="D162" s="33"/>
      <c r="E162" s="33"/>
      <c r="F162" s="23"/>
      <c r="G162" s="29" t="s">
        <v>557</v>
      </c>
      <c r="H162" s="24"/>
      <c r="I162" s="68"/>
      <c r="J162" s="1173">
        <v>45315.199999999997</v>
      </c>
      <c r="K162" s="1174"/>
      <c r="L162" s="1173">
        <f>'[1]jan.-june'!$AN$64</f>
        <v>0</v>
      </c>
      <c r="M162" s="1175"/>
      <c r="N162" s="1173">
        <f t="shared" si="5"/>
        <v>100000</v>
      </c>
      <c r="O162" s="1174"/>
      <c r="P162" s="1173">
        <v>100000</v>
      </c>
      <c r="Q162" s="68"/>
      <c r="R162" s="1173">
        <v>100000</v>
      </c>
    </row>
    <row r="163" spans="1:20" ht="12" customHeight="1">
      <c r="A163" s="1172"/>
      <c r="B163" s="33" t="s">
        <v>353</v>
      </c>
      <c r="C163" s="23"/>
      <c r="D163" s="33"/>
      <c r="E163" s="33"/>
      <c r="F163" s="23"/>
      <c r="G163" s="29" t="s">
        <v>354</v>
      </c>
      <c r="H163" s="24"/>
      <c r="I163" s="68"/>
      <c r="J163" s="1173">
        <v>574000</v>
      </c>
      <c r="K163" s="1174"/>
      <c r="L163" s="1173">
        <f>'[1]jan.-june'!$AN$52</f>
        <v>130000</v>
      </c>
      <c r="M163" s="1175"/>
      <c r="N163" s="1173">
        <f t="shared" si="5"/>
        <v>480000</v>
      </c>
      <c r="O163" s="1174"/>
      <c r="P163" s="1173">
        <v>610000</v>
      </c>
      <c r="Q163" s="68"/>
      <c r="R163" s="1173">
        <v>730000</v>
      </c>
    </row>
    <row r="164" spans="1:20" ht="12" customHeight="1">
      <c r="A164" s="1172"/>
      <c r="B164" s="33" t="s">
        <v>33</v>
      </c>
      <c r="C164" s="1155"/>
      <c r="D164" s="33"/>
      <c r="E164" s="33"/>
      <c r="F164" s="23"/>
      <c r="G164" s="29" t="s">
        <v>148</v>
      </c>
      <c r="H164" s="24"/>
      <c r="I164" s="68"/>
      <c r="J164" s="1173">
        <v>65138470.109999999</v>
      </c>
      <c r="K164" s="1174"/>
      <c r="L164" s="1173">
        <v>29361377.07</v>
      </c>
      <c r="M164" s="1175"/>
      <c r="N164" s="1173">
        <f t="shared" si="5"/>
        <v>60492925.93</v>
      </c>
      <c r="O164" s="1174"/>
      <c r="P164" s="1176">
        <v>89854303</v>
      </c>
      <c r="Q164" s="411"/>
      <c r="R164" s="1176">
        <v>86788285</v>
      </c>
    </row>
    <row r="165" spans="1:20" ht="12" customHeight="1">
      <c r="A165" s="1251" t="s">
        <v>13</v>
      </c>
      <c r="B165" s="1252"/>
      <c r="C165" s="1252"/>
      <c r="D165" s="1252"/>
      <c r="E165" s="1252"/>
      <c r="F165" s="1253"/>
      <c r="G165" s="29"/>
      <c r="H165" s="24"/>
      <c r="I165" s="1213" t="s">
        <v>15</v>
      </c>
      <c r="J165" s="1214">
        <f>SUM(J128:J164)</f>
        <v>126763723.18000001</v>
      </c>
      <c r="K165" s="1213" t="s">
        <v>15</v>
      </c>
      <c r="L165" s="1214">
        <f>SUM(L128:L164)</f>
        <v>56987072.270000003</v>
      </c>
      <c r="M165" s="1213" t="s">
        <v>15</v>
      </c>
      <c r="N165" s="1214">
        <f>SUM(N128:N164)</f>
        <v>157799312.73000002</v>
      </c>
      <c r="O165" s="1213" t="s">
        <v>15</v>
      </c>
      <c r="P165" s="1214">
        <f>SUM(P128:P164)</f>
        <v>214786385</v>
      </c>
      <c r="Q165" s="1213" t="s">
        <v>15</v>
      </c>
      <c r="R165" s="1214">
        <f>SUM(R128:R164)</f>
        <v>199802586</v>
      </c>
      <c r="S165" s="1220">
        <f>R165*0.1447</f>
        <v>28911434.194199998</v>
      </c>
      <c r="T165" s="1220">
        <f>R165-S165</f>
        <v>170891151.80579999</v>
      </c>
    </row>
    <row r="166" spans="1:20" ht="12" customHeight="1">
      <c r="A166" s="1154"/>
      <c r="B166" s="1156"/>
      <c r="C166" s="1156"/>
      <c r="D166" s="1156"/>
      <c r="E166" s="1156"/>
      <c r="F166" s="1155"/>
      <c r="G166" s="29"/>
      <c r="H166" s="24"/>
      <c r="I166" s="68"/>
      <c r="J166" s="1173"/>
      <c r="K166" s="1174"/>
      <c r="L166" s="1174"/>
      <c r="M166" s="1175"/>
      <c r="N166" s="1173"/>
      <c r="O166" s="1174"/>
      <c r="P166" s="1174"/>
      <c r="Q166" s="68"/>
      <c r="R166" s="1173"/>
    </row>
    <row r="167" spans="1:20" ht="12" customHeight="1">
      <c r="A167" s="1154"/>
      <c r="B167" s="1156"/>
      <c r="C167" s="1156"/>
      <c r="D167" s="1235" t="s">
        <v>689</v>
      </c>
      <c r="E167" s="1156"/>
      <c r="F167" s="1155"/>
      <c r="G167" s="29"/>
      <c r="H167" s="24"/>
      <c r="I167" s="68"/>
      <c r="J167" s="1173"/>
      <c r="K167" s="1174"/>
      <c r="L167" s="1174"/>
      <c r="M167" s="1175"/>
      <c r="N167" s="1173"/>
      <c r="O167" s="1174"/>
      <c r="P167" s="1174"/>
      <c r="Q167" s="68"/>
      <c r="R167" s="1173"/>
    </row>
    <row r="168" spans="1:20" ht="12" customHeight="1">
      <c r="A168" s="1154"/>
      <c r="B168" s="1156"/>
      <c r="C168" s="1156"/>
      <c r="D168" s="62" t="s">
        <v>51</v>
      </c>
      <c r="E168" s="1156"/>
      <c r="F168" s="1155"/>
      <c r="G168" s="29" t="s">
        <v>149</v>
      </c>
      <c r="H168" s="24"/>
      <c r="I168" s="68"/>
      <c r="J168" s="1174"/>
      <c r="K168" s="1175"/>
      <c r="L168" s="1173"/>
      <c r="M168" s="1175"/>
      <c r="N168" s="1173"/>
      <c r="O168" s="1174"/>
      <c r="P168" s="1173"/>
      <c r="Q168" s="68"/>
      <c r="R168" s="1173"/>
    </row>
    <row r="169" spans="1:20" ht="12" customHeight="1">
      <c r="A169" s="1154"/>
      <c r="B169" s="1156"/>
      <c r="C169" s="1156"/>
      <c r="D169" s="62"/>
      <c r="E169" s="50" t="s">
        <v>1788</v>
      </c>
      <c r="F169" s="1155"/>
      <c r="G169" s="29"/>
      <c r="H169" s="24"/>
      <c r="I169" s="68"/>
      <c r="J169" s="1173">
        <v>353173</v>
      </c>
      <c r="K169" s="1175"/>
      <c r="L169" s="1173">
        <f>'[1]jan.-june'!$AN$147</f>
        <v>200000</v>
      </c>
      <c r="M169" s="1175"/>
      <c r="N169" s="1173">
        <f t="shared" ref="N169:N208" si="6">P169-L169</f>
        <v>240000</v>
      </c>
      <c r="O169" s="1174"/>
      <c r="P169" s="1173">
        <v>440000</v>
      </c>
      <c r="Q169" s="68"/>
      <c r="R169" s="1173">
        <v>0</v>
      </c>
    </row>
    <row r="170" spans="1:20" ht="12" customHeight="1">
      <c r="A170" s="1154"/>
      <c r="B170" s="1156"/>
      <c r="C170" s="1156"/>
      <c r="D170" s="62"/>
      <c r="E170" s="50" t="s">
        <v>1789</v>
      </c>
      <c r="F170" s="1155"/>
      <c r="G170" s="29"/>
      <c r="H170" s="24"/>
      <c r="I170" s="68"/>
      <c r="J170" s="1173">
        <f>'[2]January-June'!$AJ$355</f>
        <v>0</v>
      </c>
      <c r="K170" s="1175"/>
      <c r="L170" s="1173">
        <v>0</v>
      </c>
      <c r="M170" s="1175"/>
      <c r="N170" s="1173">
        <f t="shared" si="6"/>
        <v>25000</v>
      </c>
      <c r="O170" s="1174"/>
      <c r="P170" s="1173">
        <v>25000</v>
      </c>
      <c r="Q170" s="68"/>
      <c r="R170" s="1173">
        <v>0</v>
      </c>
    </row>
    <row r="171" spans="1:20" ht="12" customHeight="1">
      <c r="A171" s="1154"/>
      <c r="B171" s="1156"/>
      <c r="C171" s="1156"/>
      <c r="D171" s="62"/>
      <c r="E171" s="1199" t="s">
        <v>1790</v>
      </c>
      <c r="F171" s="1155"/>
      <c r="G171" s="29"/>
      <c r="H171" s="24"/>
      <c r="I171" s="68"/>
      <c r="J171" s="1173">
        <f>'[2]January-June'!$AJ$355</f>
        <v>0</v>
      </c>
      <c r="K171" s="1175"/>
      <c r="L171" s="1173">
        <v>0</v>
      </c>
      <c r="M171" s="1175"/>
      <c r="N171" s="1173">
        <f t="shared" si="6"/>
        <v>300000</v>
      </c>
      <c r="O171" s="1174"/>
      <c r="P171" s="1173">
        <v>300000</v>
      </c>
      <c r="Q171" s="68"/>
      <c r="R171" s="1173">
        <v>0</v>
      </c>
    </row>
    <row r="172" spans="1:20" ht="12" customHeight="1">
      <c r="A172" s="1154"/>
      <c r="B172" s="1156"/>
      <c r="C172" s="1156"/>
      <c r="D172" s="62"/>
      <c r="E172" s="50" t="s">
        <v>1791</v>
      </c>
      <c r="F172" s="1155"/>
      <c r="G172" s="29"/>
      <c r="H172" s="24"/>
      <c r="I172" s="68"/>
      <c r="J172" s="1173">
        <f>'[2]January-June'!$AJ$355</f>
        <v>0</v>
      </c>
      <c r="K172" s="1175"/>
      <c r="L172" s="1173">
        <v>0</v>
      </c>
      <c r="M172" s="1175"/>
      <c r="N172" s="1173">
        <f t="shared" si="6"/>
        <v>15000</v>
      </c>
      <c r="O172" s="1174"/>
      <c r="P172" s="1173">
        <v>15000</v>
      </c>
      <c r="Q172" s="68"/>
      <c r="R172" s="1173">
        <v>0</v>
      </c>
    </row>
    <row r="173" spans="1:20" ht="12" customHeight="1">
      <c r="A173" s="1154"/>
      <c r="B173" s="1156"/>
      <c r="C173" s="1156"/>
      <c r="D173" s="62"/>
      <c r="E173" s="1199" t="s">
        <v>1792</v>
      </c>
      <c r="F173" s="1155"/>
      <c r="G173" s="29"/>
      <c r="H173" s="24"/>
      <c r="I173" s="68"/>
      <c r="J173" s="1173">
        <f>'[2]January-June'!$AJ$355</f>
        <v>0</v>
      </c>
      <c r="K173" s="1175"/>
      <c r="L173" s="1173">
        <v>0</v>
      </c>
      <c r="M173" s="1175"/>
      <c r="N173" s="1173">
        <f t="shared" si="6"/>
        <v>30000</v>
      </c>
      <c r="O173" s="1174"/>
      <c r="P173" s="1173">
        <v>30000</v>
      </c>
      <c r="Q173" s="68"/>
      <c r="R173" s="1173">
        <v>0</v>
      </c>
    </row>
    <row r="174" spans="1:20" ht="12" customHeight="1">
      <c r="A174" s="1154"/>
      <c r="B174" s="1156"/>
      <c r="C174" s="1156"/>
      <c r="D174" s="62"/>
      <c r="E174" s="1199" t="s">
        <v>1793</v>
      </c>
      <c r="F174" s="1155"/>
      <c r="G174" s="29"/>
      <c r="H174" s="24"/>
      <c r="I174" s="68"/>
      <c r="J174" s="1173">
        <f>'[2]January-June'!$AJ$355</f>
        <v>0</v>
      </c>
      <c r="K174" s="1175"/>
      <c r="L174" s="1173">
        <v>0</v>
      </c>
      <c r="M174" s="1175"/>
      <c r="N174" s="1173">
        <f t="shared" si="6"/>
        <v>233000</v>
      </c>
      <c r="O174" s="1174"/>
      <c r="P174" s="1173">
        <v>233000</v>
      </c>
      <c r="Q174" s="68"/>
      <c r="R174" s="1173">
        <v>0</v>
      </c>
    </row>
    <row r="175" spans="1:20" ht="12" customHeight="1">
      <c r="A175" s="1154"/>
      <c r="B175" s="1156"/>
      <c r="C175" s="1156"/>
      <c r="D175" s="62"/>
      <c r="E175" s="1199" t="s">
        <v>1794</v>
      </c>
      <c r="F175" s="1155"/>
      <c r="G175" s="29"/>
      <c r="H175" s="24"/>
      <c r="I175" s="68"/>
      <c r="J175" s="1173">
        <v>89890</v>
      </c>
      <c r="K175" s="1175"/>
      <c r="L175" s="1173">
        <v>0</v>
      </c>
      <c r="M175" s="1175"/>
      <c r="N175" s="1173">
        <f>P175-L175</f>
        <v>120000</v>
      </c>
      <c r="O175" s="1174"/>
      <c r="P175" s="1173">
        <v>120000</v>
      </c>
      <c r="Q175" s="68"/>
      <c r="R175" s="1173">
        <v>0</v>
      </c>
    </row>
    <row r="176" spans="1:20" ht="12" customHeight="1">
      <c r="A176" s="1154"/>
      <c r="B176" s="1156"/>
      <c r="C176" s="1156"/>
      <c r="D176" s="62"/>
      <c r="E176" s="1199" t="s">
        <v>1795</v>
      </c>
      <c r="F176" s="1155"/>
      <c r="G176" s="29"/>
      <c r="H176" s="24"/>
      <c r="I176" s="68"/>
      <c r="J176" s="1173">
        <v>55900</v>
      </c>
      <c r="K176" s="1175"/>
      <c r="L176" s="1173">
        <v>0</v>
      </c>
      <c r="M176" s="1175"/>
      <c r="N176" s="1173">
        <f>P176-L176</f>
        <v>0</v>
      </c>
      <c r="O176" s="1174"/>
      <c r="P176" s="1173">
        <v>0</v>
      </c>
      <c r="Q176" s="68"/>
      <c r="R176" s="1173">
        <v>0</v>
      </c>
    </row>
    <row r="177" spans="1:18" ht="12" customHeight="1">
      <c r="A177" s="1154"/>
      <c r="B177" s="1156"/>
      <c r="C177" s="1156"/>
      <c r="D177" s="62"/>
      <c r="E177" s="1199" t="s">
        <v>1796</v>
      </c>
      <c r="F177" s="1155"/>
      <c r="G177" s="29"/>
      <c r="H177" s="24"/>
      <c r="I177" s="68"/>
      <c r="J177" s="1173">
        <v>95000</v>
      </c>
      <c r="K177" s="1175"/>
      <c r="L177" s="1173">
        <v>0</v>
      </c>
      <c r="M177" s="1175"/>
      <c r="N177" s="1173">
        <f t="shared" si="6"/>
        <v>0</v>
      </c>
      <c r="O177" s="1174"/>
      <c r="P177" s="1173">
        <v>0</v>
      </c>
      <c r="Q177" s="68"/>
      <c r="R177" s="1173">
        <v>0</v>
      </c>
    </row>
    <row r="178" spans="1:18" ht="12" customHeight="1">
      <c r="A178" s="1154"/>
      <c r="B178" s="1156"/>
      <c r="C178" s="1156"/>
      <c r="D178" s="62"/>
      <c r="E178" s="1199" t="s">
        <v>1797</v>
      </c>
      <c r="F178" s="1155"/>
      <c r="G178" s="29"/>
      <c r="H178" s="24"/>
      <c r="I178" s="68"/>
      <c r="J178" s="1173">
        <f>'[2]January-June'!$AJ$355</f>
        <v>0</v>
      </c>
      <c r="K178" s="1175"/>
      <c r="L178" s="1173">
        <v>0</v>
      </c>
      <c r="M178" s="1175"/>
      <c r="N178" s="1173">
        <f t="shared" si="6"/>
        <v>140000</v>
      </c>
      <c r="O178" s="1174"/>
      <c r="P178" s="1173">
        <v>140000</v>
      </c>
      <c r="Q178" s="68"/>
      <c r="R178" s="1173">
        <v>0</v>
      </c>
    </row>
    <row r="179" spans="1:18" ht="12" customHeight="1">
      <c r="A179" s="1154"/>
      <c r="B179" s="1156"/>
      <c r="C179" s="1156"/>
      <c r="D179" s="62"/>
      <c r="E179" s="1199" t="s">
        <v>1798</v>
      </c>
      <c r="F179" s="1155"/>
      <c r="G179" s="29"/>
      <c r="H179" s="24"/>
      <c r="I179" s="68"/>
      <c r="J179" s="1173">
        <f>'[2]January-June'!$AJ$355</f>
        <v>0</v>
      </c>
      <c r="K179" s="1175"/>
      <c r="L179" s="1173">
        <v>0</v>
      </c>
      <c r="M179" s="1175"/>
      <c r="N179" s="1173">
        <f t="shared" si="6"/>
        <v>20000</v>
      </c>
      <c r="O179" s="1174"/>
      <c r="P179" s="1173">
        <v>20000</v>
      </c>
      <c r="Q179" s="68"/>
      <c r="R179" s="1173">
        <v>0</v>
      </c>
    </row>
    <row r="180" spans="1:18" ht="12" customHeight="1">
      <c r="A180" s="1154"/>
      <c r="B180" s="1156"/>
      <c r="C180" s="1156"/>
      <c r="D180" s="62"/>
      <c r="E180" s="1199" t="s">
        <v>1799</v>
      </c>
      <c r="F180" s="1155"/>
      <c r="G180" s="29"/>
      <c r="H180" s="24"/>
      <c r="I180" s="68"/>
      <c r="J180" s="1173">
        <f>'[2]January-June'!$AJ$355</f>
        <v>0</v>
      </c>
      <c r="K180" s="1175"/>
      <c r="L180" s="1173">
        <v>0</v>
      </c>
      <c r="M180" s="1175"/>
      <c r="N180" s="1173">
        <f t="shared" si="6"/>
        <v>750000</v>
      </c>
      <c r="O180" s="1174"/>
      <c r="P180" s="1173">
        <v>750000</v>
      </c>
      <c r="Q180" s="68"/>
      <c r="R180" s="1173">
        <v>0</v>
      </c>
    </row>
    <row r="181" spans="1:18" ht="12" customHeight="1">
      <c r="A181" s="1154"/>
      <c r="B181" s="1156"/>
      <c r="C181" s="1156"/>
      <c r="D181" s="62"/>
      <c r="E181" s="1199" t="s">
        <v>1800</v>
      </c>
      <c r="F181" s="1155"/>
      <c r="G181" s="29"/>
      <c r="H181" s="24"/>
      <c r="I181" s="68"/>
      <c r="J181" s="1173">
        <v>0</v>
      </c>
      <c r="K181" s="1175"/>
      <c r="L181" s="1173">
        <v>0</v>
      </c>
      <c r="M181" s="1175"/>
      <c r="N181" s="1173">
        <f t="shared" si="6"/>
        <v>240000</v>
      </c>
      <c r="O181" s="1174"/>
      <c r="P181" s="1173">
        <v>240000</v>
      </c>
      <c r="Q181" s="68"/>
      <c r="R181" s="1173">
        <v>0</v>
      </c>
    </row>
    <row r="182" spans="1:18" ht="12" customHeight="1">
      <c r="A182" s="1154"/>
      <c r="B182" s="1156"/>
      <c r="C182" s="1156"/>
      <c r="D182" s="62"/>
      <c r="E182" s="1199" t="s">
        <v>1801</v>
      </c>
      <c r="F182" s="1155"/>
      <c r="G182" s="29"/>
      <c r="H182" s="24"/>
      <c r="I182" s="68"/>
      <c r="J182" s="1173">
        <f>'[2]January-June'!$AJ$355</f>
        <v>0</v>
      </c>
      <c r="K182" s="1175"/>
      <c r="L182" s="1173">
        <f>'[2]January-June'!$AJ$364</f>
        <v>0</v>
      </c>
      <c r="M182" s="1175"/>
      <c r="N182" s="1173">
        <f>P182-L182</f>
        <v>80000</v>
      </c>
      <c r="O182" s="1174"/>
      <c r="P182" s="1173">
        <v>80000</v>
      </c>
      <c r="Q182" s="68"/>
      <c r="R182" s="1173">
        <v>0</v>
      </c>
    </row>
    <row r="183" spans="1:18" ht="12" customHeight="1">
      <c r="A183" s="1154"/>
      <c r="B183" s="1156"/>
      <c r="C183" s="1156"/>
      <c r="D183" s="62"/>
      <c r="E183" s="1199" t="s">
        <v>1802</v>
      </c>
      <c r="F183" s="1155"/>
      <c r="G183" s="29"/>
      <c r="H183" s="24"/>
      <c r="I183" s="68"/>
      <c r="J183" s="1173">
        <v>15450</v>
      </c>
      <c r="K183" s="1175"/>
      <c r="L183" s="1173">
        <f>'[2]January-June'!$AJ$364</f>
        <v>0</v>
      </c>
      <c r="M183" s="1175"/>
      <c r="N183" s="1173">
        <f>P183-L183</f>
        <v>0</v>
      </c>
      <c r="O183" s="1174"/>
      <c r="P183" s="1173">
        <v>0</v>
      </c>
      <c r="Q183" s="68"/>
      <c r="R183" s="1173">
        <v>0</v>
      </c>
    </row>
    <row r="184" spans="1:18" ht="12" customHeight="1">
      <c r="A184" s="1154"/>
      <c r="B184" s="1156"/>
      <c r="C184" s="1156"/>
      <c r="D184" s="62" t="s">
        <v>889</v>
      </c>
      <c r="E184" s="1156"/>
      <c r="F184" s="1155"/>
      <c r="G184" s="29" t="s">
        <v>890</v>
      </c>
      <c r="H184" s="24"/>
      <c r="I184" s="68"/>
      <c r="J184" s="1173">
        <f>'[2]January-June'!$AJ$355</f>
        <v>0</v>
      </c>
      <c r="K184" s="1175"/>
      <c r="L184" s="1173"/>
      <c r="M184" s="1175"/>
      <c r="N184" s="1173"/>
      <c r="O184" s="1174"/>
      <c r="P184" s="1173"/>
      <c r="Q184" s="68"/>
      <c r="R184" s="1173"/>
    </row>
    <row r="185" spans="1:18" ht="12" customHeight="1">
      <c r="A185" s="1154"/>
      <c r="B185" s="1156"/>
      <c r="C185" s="1156"/>
      <c r="D185" s="62"/>
      <c r="E185" s="50" t="s">
        <v>1803</v>
      </c>
      <c r="F185" s="1155"/>
      <c r="G185" s="29"/>
      <c r="H185" s="24"/>
      <c r="I185" s="68"/>
      <c r="J185" s="1173">
        <v>30000</v>
      </c>
      <c r="K185" s="1175"/>
      <c r="L185" s="1173">
        <f>'[2]January-June'!$AJ$355</f>
        <v>0</v>
      </c>
      <c r="M185" s="1175"/>
      <c r="N185" s="1173">
        <f>P185-L185</f>
        <v>0</v>
      </c>
      <c r="O185" s="1174"/>
      <c r="P185" s="1173">
        <v>0</v>
      </c>
      <c r="Q185" s="68"/>
      <c r="R185" s="1173">
        <v>0</v>
      </c>
    </row>
    <row r="186" spans="1:18" ht="12" customHeight="1">
      <c r="A186" s="1154"/>
      <c r="B186" s="1156"/>
      <c r="C186" s="1156"/>
      <c r="D186" s="62" t="s">
        <v>152</v>
      </c>
      <c r="E186" s="1156"/>
      <c r="F186" s="1155"/>
      <c r="G186" s="29" t="s">
        <v>150</v>
      </c>
      <c r="H186" s="24"/>
      <c r="I186" s="68"/>
      <c r="J186" s="1173">
        <f>'[2]January-June'!$AJ$355</f>
        <v>0</v>
      </c>
      <c r="K186" s="1175"/>
      <c r="L186" s="1173"/>
      <c r="M186" s="1175"/>
      <c r="N186" s="1173"/>
      <c r="O186" s="1174"/>
      <c r="P186" s="1173"/>
      <c r="Q186" s="68"/>
      <c r="R186" s="1173"/>
    </row>
    <row r="187" spans="1:18" ht="12" customHeight="1">
      <c r="A187" s="1154"/>
      <c r="B187" s="1156"/>
      <c r="C187" s="1156"/>
      <c r="D187" s="62"/>
      <c r="E187" s="1199" t="s">
        <v>1804</v>
      </c>
      <c r="F187" s="1155"/>
      <c r="G187" s="29"/>
      <c r="H187" s="24"/>
      <c r="I187" s="68"/>
      <c r="J187" s="1173">
        <v>0</v>
      </c>
      <c r="K187" s="1175"/>
      <c r="L187" s="1174">
        <v>0</v>
      </c>
      <c r="M187" s="1175"/>
      <c r="N187" s="1173">
        <f t="shared" si="6"/>
        <v>100000</v>
      </c>
      <c r="O187" s="1174"/>
      <c r="P187" s="1173">
        <v>100000</v>
      </c>
      <c r="Q187" s="68"/>
      <c r="R187" s="1173">
        <v>0</v>
      </c>
    </row>
    <row r="188" spans="1:18" ht="12" customHeight="1">
      <c r="A188" s="1154"/>
      <c r="B188" s="1156"/>
      <c r="C188" s="1156"/>
      <c r="D188" s="62"/>
      <c r="E188" s="1199" t="s">
        <v>1805</v>
      </c>
      <c r="F188" s="1155"/>
      <c r="G188" s="29"/>
      <c r="H188" s="24"/>
      <c r="I188" s="68"/>
      <c r="J188" s="1173">
        <f>'[2]January-June'!$AJ$355</f>
        <v>0</v>
      </c>
      <c r="K188" s="1175"/>
      <c r="L188" s="1174">
        <v>0</v>
      </c>
      <c r="M188" s="1175"/>
      <c r="N188" s="1173">
        <f t="shared" si="6"/>
        <v>15000</v>
      </c>
      <c r="O188" s="1174"/>
      <c r="P188" s="1173">
        <v>15000</v>
      </c>
      <c r="Q188" s="68"/>
      <c r="R188" s="1173">
        <v>0</v>
      </c>
    </row>
    <row r="189" spans="1:18" ht="12" customHeight="1">
      <c r="A189" s="1154"/>
      <c r="B189" s="1156"/>
      <c r="C189" s="1156"/>
      <c r="D189" s="62"/>
      <c r="E189" s="1199" t="s">
        <v>1806</v>
      </c>
      <c r="F189" s="1155"/>
      <c r="G189" s="29"/>
      <c r="H189" s="24"/>
      <c r="I189" s="68"/>
      <c r="J189" s="1173">
        <f>'[2]January-June'!$AJ$355</f>
        <v>0</v>
      </c>
      <c r="K189" s="1175"/>
      <c r="L189" s="1174">
        <v>0</v>
      </c>
      <c r="M189" s="1175"/>
      <c r="N189" s="1173">
        <f t="shared" si="6"/>
        <v>50000</v>
      </c>
      <c r="O189" s="1174"/>
      <c r="P189" s="1173">
        <v>50000</v>
      </c>
      <c r="Q189" s="68"/>
      <c r="R189" s="1173">
        <v>0</v>
      </c>
    </row>
    <row r="190" spans="1:18" ht="12" customHeight="1">
      <c r="A190" s="1154"/>
      <c r="B190" s="1156"/>
      <c r="C190" s="1156"/>
      <c r="D190" s="62"/>
      <c r="E190" s="1199" t="s">
        <v>1807</v>
      </c>
      <c r="F190" s="1155"/>
      <c r="G190" s="29"/>
      <c r="H190" s="24"/>
      <c r="I190" s="68"/>
      <c r="J190" s="1173">
        <f>'[2]January-June'!$AJ$355</f>
        <v>0</v>
      </c>
      <c r="K190" s="1175"/>
      <c r="L190" s="1174">
        <v>0</v>
      </c>
      <c r="M190" s="1175"/>
      <c r="N190" s="1173">
        <f t="shared" si="6"/>
        <v>25000</v>
      </c>
      <c r="O190" s="1174"/>
      <c r="P190" s="1173">
        <v>25000</v>
      </c>
      <c r="Q190" s="68"/>
      <c r="R190" s="1173">
        <v>0</v>
      </c>
    </row>
    <row r="191" spans="1:18" ht="12" customHeight="1">
      <c r="A191" s="1154"/>
      <c r="B191" s="1156"/>
      <c r="C191" s="1156"/>
      <c r="D191" s="62"/>
      <c r="E191" s="1199" t="s">
        <v>1808</v>
      </c>
      <c r="F191" s="1155"/>
      <c r="G191" s="29"/>
      <c r="H191" s="24"/>
      <c r="I191" s="68"/>
      <c r="J191" s="1173">
        <f>'[2]January-June'!$AJ$355</f>
        <v>0</v>
      </c>
      <c r="K191" s="1175"/>
      <c r="L191" s="1174">
        <v>0</v>
      </c>
      <c r="M191" s="1175"/>
      <c r="N191" s="1173">
        <f t="shared" si="6"/>
        <v>25000</v>
      </c>
      <c r="O191" s="1174"/>
      <c r="P191" s="1173">
        <v>25000</v>
      </c>
      <c r="Q191" s="68"/>
      <c r="R191" s="1173">
        <v>0</v>
      </c>
    </row>
    <row r="192" spans="1:18" ht="12" customHeight="1">
      <c r="A192" s="1154"/>
      <c r="B192" s="1156"/>
      <c r="C192" s="1156"/>
      <c r="D192" s="62"/>
      <c r="E192" s="1199" t="s">
        <v>1809</v>
      </c>
      <c r="F192" s="1155"/>
      <c r="G192" s="29"/>
      <c r="H192" s="24"/>
      <c r="I192" s="68"/>
      <c r="J192" s="1173">
        <f>'[2]January-June'!$AJ$355</f>
        <v>0</v>
      </c>
      <c r="K192" s="1175"/>
      <c r="L192" s="1174">
        <v>0</v>
      </c>
      <c r="M192" s="1175"/>
      <c r="N192" s="1173">
        <f>P192-L192</f>
        <v>35000</v>
      </c>
      <c r="O192" s="1174"/>
      <c r="P192" s="1173">
        <v>35000</v>
      </c>
      <c r="Q192" s="68"/>
      <c r="R192" s="1173">
        <v>0</v>
      </c>
    </row>
    <row r="193" spans="1:18" ht="12" customHeight="1">
      <c r="A193" s="1154"/>
      <c r="B193" s="1156"/>
      <c r="C193" s="1156"/>
      <c r="D193" s="62"/>
      <c r="E193" s="1199" t="s">
        <v>1810</v>
      </c>
      <c r="F193" s="1155"/>
      <c r="G193" s="29"/>
      <c r="H193" s="24"/>
      <c r="I193" s="68"/>
      <c r="J193" s="1173">
        <v>20000</v>
      </c>
      <c r="K193" s="1175"/>
      <c r="L193" s="1174">
        <v>0</v>
      </c>
      <c r="M193" s="1175"/>
      <c r="N193" s="1173">
        <f t="shared" si="6"/>
        <v>20000</v>
      </c>
      <c r="O193" s="1174"/>
      <c r="P193" s="1173">
        <v>20000</v>
      </c>
      <c r="Q193" s="68"/>
      <c r="R193" s="1173">
        <v>0</v>
      </c>
    </row>
    <row r="194" spans="1:18" ht="12" customHeight="1">
      <c r="A194" s="1154"/>
      <c r="B194" s="1156"/>
      <c r="C194" s="1156"/>
      <c r="D194" s="62"/>
      <c r="E194" s="1199" t="s">
        <v>1811</v>
      </c>
      <c r="F194" s="1155"/>
      <c r="G194" s="29"/>
      <c r="H194" s="24"/>
      <c r="I194" s="68"/>
      <c r="J194" s="1173">
        <v>40000</v>
      </c>
      <c r="K194" s="1175"/>
      <c r="L194" s="1174">
        <v>0</v>
      </c>
      <c r="M194" s="1175"/>
      <c r="N194" s="1173">
        <f t="shared" si="6"/>
        <v>435000</v>
      </c>
      <c r="O194" s="1174"/>
      <c r="P194" s="1173">
        <v>435000</v>
      </c>
      <c r="Q194" s="68"/>
      <c r="R194" s="1173">
        <v>0</v>
      </c>
    </row>
    <row r="195" spans="1:18" ht="12" customHeight="1">
      <c r="A195" s="1154"/>
      <c r="B195" s="1156"/>
      <c r="C195" s="1156"/>
      <c r="D195" s="62"/>
      <c r="E195" s="1199" t="s">
        <v>1812</v>
      </c>
      <c r="F195" s="1155"/>
      <c r="G195" s="29"/>
      <c r="H195" s="24"/>
      <c r="I195" s="68"/>
      <c r="J195" s="1173">
        <f>'[2]January-June'!$AJ$355</f>
        <v>0</v>
      </c>
      <c r="K195" s="1175"/>
      <c r="L195" s="1174">
        <v>0</v>
      </c>
      <c r="M195" s="1175"/>
      <c r="N195" s="1173">
        <f>P195-L195</f>
        <v>80000</v>
      </c>
      <c r="O195" s="1174"/>
      <c r="P195" s="1173">
        <v>80000</v>
      </c>
      <c r="Q195" s="68"/>
      <c r="R195" s="1173">
        <v>0</v>
      </c>
    </row>
    <row r="196" spans="1:18" ht="12" customHeight="1">
      <c r="A196" s="1154"/>
      <c r="B196" s="1156"/>
      <c r="C196" s="1156"/>
      <c r="D196" s="62"/>
      <c r="E196" s="1199" t="s">
        <v>1813</v>
      </c>
      <c r="F196" s="1155"/>
      <c r="G196" s="29"/>
      <c r="H196" s="24"/>
      <c r="I196" s="68"/>
      <c r="J196" s="1173">
        <v>88999</v>
      </c>
      <c r="K196" s="1175"/>
      <c r="L196" s="1173"/>
      <c r="M196" s="1175"/>
      <c r="N196" s="1173">
        <f>P196-L196</f>
        <v>0</v>
      </c>
      <c r="O196" s="1174"/>
      <c r="P196" s="1173">
        <v>0</v>
      </c>
      <c r="Q196" s="68"/>
      <c r="R196" s="1173">
        <v>0</v>
      </c>
    </row>
    <row r="197" spans="1:18" ht="12" customHeight="1">
      <c r="A197" s="1154"/>
      <c r="B197" s="1156"/>
      <c r="C197" s="1156"/>
      <c r="D197" s="62"/>
      <c r="E197" s="1199" t="s">
        <v>1814</v>
      </c>
      <c r="F197" s="1155"/>
      <c r="G197" s="29"/>
      <c r="H197" s="24"/>
      <c r="I197" s="68"/>
      <c r="J197" s="1173">
        <v>29300</v>
      </c>
      <c r="K197" s="1175"/>
      <c r="L197" s="1173"/>
      <c r="M197" s="1175"/>
      <c r="N197" s="1173">
        <f>P197-L197</f>
        <v>0</v>
      </c>
      <c r="O197" s="1174"/>
      <c r="P197" s="1173">
        <v>0</v>
      </c>
      <c r="Q197" s="68"/>
      <c r="R197" s="1173">
        <v>0</v>
      </c>
    </row>
    <row r="198" spans="1:18" ht="12" customHeight="1">
      <c r="A198" s="1154"/>
      <c r="B198" s="1156"/>
      <c r="C198" s="1156"/>
      <c r="D198" s="62" t="s">
        <v>154</v>
      </c>
      <c r="E198" s="1156"/>
      <c r="F198" s="1155"/>
      <c r="G198" s="29" t="s">
        <v>151</v>
      </c>
      <c r="H198" s="24"/>
      <c r="I198" s="68"/>
      <c r="J198" s="1174"/>
      <c r="K198" s="1175"/>
      <c r="L198" s="1173"/>
      <c r="M198" s="1175"/>
      <c r="N198" s="1173"/>
      <c r="O198" s="1174"/>
      <c r="P198" s="1173">
        <v>0</v>
      </c>
      <c r="Q198" s="68"/>
      <c r="R198" s="1173">
        <v>0</v>
      </c>
    </row>
    <row r="199" spans="1:18" ht="12" customHeight="1">
      <c r="A199" s="1154"/>
      <c r="B199" s="1156"/>
      <c r="C199" s="1156"/>
      <c r="D199" s="62"/>
      <c r="E199" s="1199" t="s">
        <v>1815</v>
      </c>
      <c r="F199" s="1155"/>
      <c r="G199" s="29"/>
      <c r="H199" s="24"/>
      <c r="I199" s="68"/>
      <c r="J199" s="1173">
        <v>895375</v>
      </c>
      <c r="K199" s="1175"/>
      <c r="L199" s="1173">
        <f>'[1]jan.-june'!$AN$158</f>
        <v>259799</v>
      </c>
      <c r="M199" s="1175"/>
      <c r="N199" s="1173">
        <f t="shared" si="6"/>
        <v>1687201</v>
      </c>
      <c r="O199" s="1174"/>
      <c r="P199" s="1173">
        <v>1947000</v>
      </c>
      <c r="Q199" s="68"/>
      <c r="R199" s="1173">
        <v>0</v>
      </c>
    </row>
    <row r="200" spans="1:18" ht="12" customHeight="1">
      <c r="A200" s="1154"/>
      <c r="B200" s="1156"/>
      <c r="C200" s="1156"/>
      <c r="D200" s="62"/>
      <c r="E200" s="1199" t="s">
        <v>1816</v>
      </c>
      <c r="F200" s="1155"/>
      <c r="G200" s="29"/>
      <c r="H200" s="24"/>
      <c r="I200" s="68"/>
      <c r="J200" s="1173">
        <v>386218</v>
      </c>
      <c r="K200" s="1175"/>
      <c r="L200" s="1173">
        <f>'[1]jan.-june'!$AN$159</f>
        <v>129900</v>
      </c>
      <c r="M200" s="1175"/>
      <c r="N200" s="1173">
        <f t="shared" si="6"/>
        <v>1282100</v>
      </c>
      <c r="O200" s="1174"/>
      <c r="P200" s="1173">
        <v>1412000</v>
      </c>
      <c r="Q200" s="68"/>
      <c r="R200" s="1173">
        <v>0</v>
      </c>
    </row>
    <row r="201" spans="1:18" ht="12" customHeight="1">
      <c r="A201" s="1154"/>
      <c r="B201" s="1156"/>
      <c r="C201" s="1156"/>
      <c r="D201" s="62"/>
      <c r="E201" s="1199" t="s">
        <v>1817</v>
      </c>
      <c r="F201" s="1155"/>
      <c r="G201" s="29"/>
      <c r="H201" s="24"/>
      <c r="I201" s="68"/>
      <c r="J201" s="1173">
        <v>138800</v>
      </c>
      <c r="K201" s="1175"/>
      <c r="L201" s="1173">
        <v>0</v>
      </c>
      <c r="M201" s="1175"/>
      <c r="N201" s="1173">
        <f t="shared" si="6"/>
        <v>0</v>
      </c>
      <c r="O201" s="1174"/>
      <c r="P201" s="1173">
        <v>0</v>
      </c>
      <c r="Q201" s="68"/>
      <c r="R201" s="1173">
        <v>0</v>
      </c>
    </row>
    <row r="202" spans="1:18" ht="12" customHeight="1">
      <c r="A202" s="1154"/>
      <c r="B202" s="1156"/>
      <c r="C202" s="1156"/>
      <c r="D202" s="62"/>
      <c r="E202" s="1199" t="s">
        <v>1818</v>
      </c>
      <c r="F202" s="1155"/>
      <c r="G202" s="29"/>
      <c r="H202" s="24"/>
      <c r="I202" s="68"/>
      <c r="J202" s="1173">
        <f>'[2]January-June'!$AJ$355</f>
        <v>0</v>
      </c>
      <c r="K202" s="1175"/>
      <c r="L202" s="1173">
        <v>0</v>
      </c>
      <c r="M202" s="1175"/>
      <c r="N202" s="1173">
        <f t="shared" si="6"/>
        <v>40000</v>
      </c>
      <c r="O202" s="1174"/>
      <c r="P202" s="1173">
        <v>40000</v>
      </c>
      <c r="Q202" s="68"/>
      <c r="R202" s="1173">
        <v>0</v>
      </c>
    </row>
    <row r="203" spans="1:18" ht="12" customHeight="1">
      <c r="A203" s="1154"/>
      <c r="B203" s="1156"/>
      <c r="C203" s="1156"/>
      <c r="D203" s="62"/>
      <c r="E203" s="1199" t="s">
        <v>1819</v>
      </c>
      <c r="F203" s="1155"/>
      <c r="G203" s="29"/>
      <c r="H203" s="24"/>
      <c r="I203" s="68"/>
      <c r="J203" s="1173">
        <f>'[2]January-June'!$AJ$355</f>
        <v>0</v>
      </c>
      <c r="K203" s="1175"/>
      <c r="L203" s="1173">
        <v>0</v>
      </c>
      <c r="M203" s="1175"/>
      <c r="N203" s="1173">
        <f t="shared" si="6"/>
        <v>50000</v>
      </c>
      <c r="O203" s="1174"/>
      <c r="P203" s="1173">
        <v>50000</v>
      </c>
      <c r="Q203" s="68"/>
      <c r="R203" s="1173">
        <v>0</v>
      </c>
    </row>
    <row r="204" spans="1:18" ht="12" customHeight="1">
      <c r="A204" s="1154"/>
      <c r="B204" s="1156"/>
      <c r="C204" s="1156"/>
      <c r="D204" s="62"/>
      <c r="E204" s="1199" t="s">
        <v>1820</v>
      </c>
      <c r="F204" s="1155"/>
      <c r="G204" s="29"/>
      <c r="H204" s="24"/>
      <c r="I204" s="68"/>
      <c r="J204" s="1173">
        <f>'[2]January-June'!$AJ$355</f>
        <v>0</v>
      </c>
      <c r="K204" s="1175"/>
      <c r="L204" s="1173">
        <f>'[1]jan.-june'!$AN$161</f>
        <v>162000</v>
      </c>
      <c r="M204" s="1175"/>
      <c r="N204" s="1173">
        <f t="shared" si="6"/>
        <v>296024</v>
      </c>
      <c r="O204" s="1174"/>
      <c r="P204" s="1173">
        <v>458024</v>
      </c>
      <c r="Q204" s="68"/>
      <c r="R204" s="1173">
        <v>0</v>
      </c>
    </row>
    <row r="205" spans="1:18" ht="12" customHeight="1">
      <c r="A205" s="1154"/>
      <c r="B205" s="1156"/>
      <c r="C205" s="1156"/>
      <c r="D205" s="62"/>
      <c r="E205" s="1199" t="s">
        <v>1821</v>
      </c>
      <c r="F205" s="1155"/>
      <c r="G205" s="29"/>
      <c r="H205" s="24"/>
      <c r="I205" s="68"/>
      <c r="J205" s="1173">
        <f>'[2]January-June'!$AJ$355</f>
        <v>0</v>
      </c>
      <c r="K205" s="1175"/>
      <c r="L205" s="1173">
        <v>0</v>
      </c>
      <c r="M205" s="1175"/>
      <c r="N205" s="1173">
        <f t="shared" si="6"/>
        <v>90000</v>
      </c>
      <c r="O205" s="1174"/>
      <c r="P205" s="1173">
        <v>90000</v>
      </c>
      <c r="Q205" s="68"/>
      <c r="R205" s="1173">
        <v>0</v>
      </c>
    </row>
    <row r="206" spans="1:18" ht="12" customHeight="1">
      <c r="A206" s="1154"/>
      <c r="B206" s="1156"/>
      <c r="C206" s="1156"/>
      <c r="D206" s="62"/>
      <c r="E206" s="1199" t="s">
        <v>1822</v>
      </c>
      <c r="F206" s="1155"/>
      <c r="G206" s="29"/>
      <c r="H206" s="24"/>
      <c r="I206" s="68"/>
      <c r="J206" s="1173">
        <v>0</v>
      </c>
      <c r="K206" s="1175"/>
      <c r="L206" s="1173">
        <v>0</v>
      </c>
      <c r="M206" s="1175"/>
      <c r="N206" s="1173">
        <f t="shared" si="6"/>
        <v>465000</v>
      </c>
      <c r="O206" s="1174"/>
      <c r="P206" s="1173">
        <v>465000</v>
      </c>
      <c r="Q206" s="68"/>
      <c r="R206" s="1173">
        <v>0</v>
      </c>
    </row>
    <row r="207" spans="1:18" ht="12" customHeight="1">
      <c r="A207" s="1154"/>
      <c r="B207" s="1156"/>
      <c r="C207" s="1156"/>
      <c r="D207" s="62"/>
      <c r="E207" s="1199" t="s">
        <v>1823</v>
      </c>
      <c r="F207" s="1155"/>
      <c r="G207" s="29"/>
      <c r="H207" s="24"/>
      <c r="I207" s="68"/>
      <c r="J207" s="1173">
        <f>'[2]January-June'!$AJ$355</f>
        <v>0</v>
      </c>
      <c r="K207" s="1175"/>
      <c r="L207" s="1173">
        <v>0</v>
      </c>
      <c r="M207" s="1175"/>
      <c r="N207" s="1173">
        <f t="shared" si="6"/>
        <v>70000</v>
      </c>
      <c r="O207" s="1174"/>
      <c r="P207" s="1173">
        <v>70000</v>
      </c>
      <c r="Q207" s="68"/>
      <c r="R207" s="1173">
        <v>0</v>
      </c>
    </row>
    <row r="208" spans="1:18" ht="12" customHeight="1">
      <c r="A208" s="1154"/>
      <c r="B208" s="1156"/>
      <c r="C208" s="1156"/>
      <c r="D208" s="62"/>
      <c r="E208" s="1199" t="s">
        <v>1824</v>
      </c>
      <c r="F208" s="1155"/>
      <c r="G208" s="29"/>
      <c r="H208" s="24"/>
      <c r="I208" s="68"/>
      <c r="J208" s="1173">
        <v>0</v>
      </c>
      <c r="K208" s="1175"/>
      <c r="L208" s="1173">
        <v>0</v>
      </c>
      <c r="M208" s="1175"/>
      <c r="N208" s="1173">
        <f t="shared" si="6"/>
        <v>400000</v>
      </c>
      <c r="O208" s="1174"/>
      <c r="P208" s="1173">
        <v>400000</v>
      </c>
      <c r="Q208" s="68"/>
      <c r="R208" s="1173">
        <v>0</v>
      </c>
    </row>
    <row r="209" spans="1:18" ht="12" customHeight="1">
      <c r="A209" s="1154"/>
      <c r="B209" s="1156"/>
      <c r="C209" s="1156"/>
      <c r="D209" s="62" t="s">
        <v>319</v>
      </c>
      <c r="E209" s="1156"/>
      <c r="F209" s="1155"/>
      <c r="G209" s="29" t="s">
        <v>320</v>
      </c>
      <c r="H209" s="24"/>
      <c r="I209" s="68"/>
      <c r="J209" s="1174"/>
      <c r="K209" s="1175"/>
      <c r="L209" s="1173"/>
      <c r="M209" s="1175"/>
      <c r="N209" s="1173"/>
      <c r="O209" s="1174"/>
      <c r="P209" s="1173"/>
      <c r="Q209" s="68"/>
      <c r="R209" s="1173"/>
    </row>
    <row r="210" spans="1:18" ht="12" customHeight="1">
      <c r="A210" s="1154"/>
      <c r="B210" s="1156"/>
      <c r="C210" s="1156"/>
      <c r="D210" s="62"/>
      <c r="E210" s="62" t="s">
        <v>1825</v>
      </c>
      <c r="F210" s="1155"/>
      <c r="G210" s="29"/>
      <c r="H210" s="24"/>
      <c r="I210" s="68"/>
      <c r="J210" s="1173">
        <f>'[2]January-June'!$AJ$355</f>
        <v>0</v>
      </c>
      <c r="K210" s="1175"/>
      <c r="L210" s="1173">
        <v>0</v>
      </c>
      <c r="M210" s="1175"/>
      <c r="N210" s="1173">
        <f>P210-L210</f>
        <v>80000</v>
      </c>
      <c r="O210" s="1174"/>
      <c r="P210" s="1173">
        <v>80000</v>
      </c>
      <c r="Q210" s="68"/>
      <c r="R210" s="1173">
        <v>0</v>
      </c>
    </row>
    <row r="211" spans="1:18" ht="12" customHeight="1">
      <c r="A211" s="1154"/>
      <c r="B211" s="1156"/>
      <c r="C211" s="1156"/>
      <c r="D211" s="62"/>
      <c r="E211" s="62" t="s">
        <v>1826</v>
      </c>
      <c r="F211" s="1155"/>
      <c r="G211" s="29"/>
      <c r="H211" s="24"/>
      <c r="I211" s="68"/>
      <c r="J211" s="1173">
        <v>0</v>
      </c>
      <c r="K211" s="1175"/>
      <c r="L211" s="1173">
        <v>0</v>
      </c>
      <c r="M211" s="1175"/>
      <c r="N211" s="1173">
        <f>P211-L211</f>
        <v>200000</v>
      </c>
      <c r="O211" s="1174"/>
      <c r="P211" s="1173">
        <v>200000</v>
      </c>
      <c r="Q211" s="68"/>
      <c r="R211" s="1173">
        <v>0</v>
      </c>
    </row>
    <row r="212" spans="1:18" ht="12" customHeight="1">
      <c r="A212" s="1154"/>
      <c r="B212" s="1156"/>
      <c r="C212" s="1156"/>
      <c r="D212" s="62" t="s">
        <v>319</v>
      </c>
      <c r="E212" s="62" t="s">
        <v>1827</v>
      </c>
      <c r="F212" s="1155"/>
      <c r="G212" s="29" t="s">
        <v>1212</v>
      </c>
      <c r="H212" s="24"/>
      <c r="I212" s="68"/>
      <c r="J212" s="1174"/>
      <c r="K212" s="1175"/>
      <c r="L212" s="1173"/>
      <c r="M212" s="1175"/>
      <c r="N212" s="1173"/>
      <c r="O212" s="1174"/>
      <c r="P212" s="1173"/>
      <c r="Q212" s="68"/>
      <c r="R212" s="1173"/>
    </row>
    <row r="213" spans="1:18" ht="12" customHeight="1">
      <c r="A213" s="1154"/>
      <c r="B213" s="1156"/>
      <c r="C213" s="1156"/>
      <c r="D213" s="62"/>
      <c r="E213" s="62" t="s">
        <v>1828</v>
      </c>
      <c r="F213" s="1155"/>
      <c r="G213" s="29"/>
      <c r="H213" s="24"/>
      <c r="I213" s="68"/>
      <c r="J213" s="1173">
        <f>'[2]January-June'!$AJ$355</f>
        <v>0</v>
      </c>
      <c r="K213" s="1175"/>
      <c r="L213" s="1173">
        <v>0</v>
      </c>
      <c r="M213" s="1175"/>
      <c r="N213" s="1173">
        <f>P213-L213</f>
        <v>30000</v>
      </c>
      <c r="O213" s="1174"/>
      <c r="P213" s="1173">
        <v>30000</v>
      </c>
      <c r="Q213" s="68"/>
      <c r="R213" s="1173">
        <v>0</v>
      </c>
    </row>
    <row r="214" spans="1:18" ht="12" customHeight="1">
      <c r="A214" s="1154"/>
      <c r="B214" s="1156"/>
      <c r="C214" s="1156"/>
      <c r="D214" s="62"/>
      <c r="E214" s="62" t="s">
        <v>1829</v>
      </c>
      <c r="F214" s="1155"/>
      <c r="G214" s="29"/>
      <c r="H214" s="24"/>
      <c r="I214" s="68"/>
      <c r="J214" s="1173">
        <f>'[2]January-June'!$AJ$355</f>
        <v>0</v>
      </c>
      <c r="K214" s="1175"/>
      <c r="L214" s="1173">
        <v>0</v>
      </c>
      <c r="M214" s="1175"/>
      <c r="N214" s="1173">
        <f>P214-L214</f>
        <v>80000</v>
      </c>
      <c r="O214" s="1174"/>
      <c r="P214" s="1173">
        <v>80000</v>
      </c>
      <c r="Q214" s="68"/>
      <c r="R214" s="1173">
        <v>0</v>
      </c>
    </row>
    <row r="215" spans="1:18" ht="12" customHeight="1">
      <c r="A215" s="1154"/>
      <c r="B215" s="1156"/>
      <c r="C215" s="1156"/>
      <c r="D215" s="62"/>
      <c r="E215" s="62" t="s">
        <v>1830</v>
      </c>
      <c r="F215" s="1155"/>
      <c r="G215" s="29"/>
      <c r="H215" s="24"/>
      <c r="I215" s="68"/>
      <c r="J215" s="1173">
        <f>'[2]January-June'!$AJ$355</f>
        <v>0</v>
      </c>
      <c r="K215" s="1175"/>
      <c r="L215" s="1173">
        <v>0</v>
      </c>
      <c r="M215" s="1175"/>
      <c r="N215" s="1173">
        <f>P215-L215</f>
        <v>21500</v>
      </c>
      <c r="O215" s="1174"/>
      <c r="P215" s="1173">
        <v>21500</v>
      </c>
      <c r="Q215" s="68"/>
      <c r="R215" s="1173">
        <v>0</v>
      </c>
    </row>
    <row r="216" spans="1:18" ht="12" customHeight="1">
      <c r="A216" s="1154"/>
      <c r="B216" s="1156"/>
      <c r="C216" s="1156"/>
      <c r="D216" s="62" t="s">
        <v>58</v>
      </c>
      <c r="E216" s="1156"/>
      <c r="F216" s="1155"/>
      <c r="G216" s="29" t="s">
        <v>155</v>
      </c>
      <c r="H216" s="24"/>
      <c r="I216" s="68"/>
      <c r="J216" s="1174"/>
      <c r="K216" s="1175"/>
      <c r="L216" s="1173"/>
      <c r="M216" s="1175"/>
      <c r="N216" s="1173"/>
      <c r="O216" s="1174"/>
      <c r="P216" s="1173"/>
      <c r="Q216" s="68"/>
      <c r="R216" s="1173"/>
    </row>
    <row r="217" spans="1:18" ht="12" customHeight="1">
      <c r="A217" s="1154"/>
      <c r="B217" s="1156"/>
      <c r="C217" s="1156"/>
      <c r="D217" s="62"/>
      <c r="E217" s="1199" t="s">
        <v>1831</v>
      </c>
      <c r="F217" s="1155"/>
      <c r="G217" s="29"/>
      <c r="H217" s="24"/>
      <c r="I217" s="68"/>
      <c r="J217" s="1173">
        <v>63450</v>
      </c>
      <c r="K217" s="1175"/>
      <c r="L217" s="1173">
        <f>'[1]jan.-june'!$AN$163</f>
        <v>24900</v>
      </c>
      <c r="M217" s="1175"/>
      <c r="N217" s="1173">
        <f>P217-L217</f>
        <v>50100</v>
      </c>
      <c r="O217" s="1174"/>
      <c r="P217" s="1173">
        <v>75000</v>
      </c>
      <c r="Q217" s="68"/>
      <c r="R217" s="1173">
        <v>0</v>
      </c>
    </row>
    <row r="218" spans="1:18" ht="12" customHeight="1">
      <c r="A218" s="1154"/>
      <c r="B218" s="1156"/>
      <c r="C218" s="1156"/>
      <c r="D218" s="62"/>
      <c r="E218" s="1199" t="s">
        <v>1832</v>
      </c>
      <c r="F218" s="1155"/>
      <c r="G218" s="29"/>
      <c r="H218" s="24"/>
      <c r="I218" s="68"/>
      <c r="J218" s="1173">
        <f>'[2]January-June'!$AJ$355</f>
        <v>0</v>
      </c>
      <c r="K218" s="1175"/>
      <c r="L218" s="1173">
        <v>0</v>
      </c>
      <c r="M218" s="1175"/>
      <c r="N218" s="1173">
        <f>P218-L218</f>
        <v>50000</v>
      </c>
      <c r="O218" s="1174"/>
      <c r="P218" s="1173">
        <v>50000</v>
      </c>
      <c r="Q218" s="68"/>
      <c r="R218" s="1173">
        <v>0</v>
      </c>
    </row>
    <row r="219" spans="1:18" ht="12" customHeight="1">
      <c r="A219" s="1154"/>
      <c r="B219" s="1156"/>
      <c r="C219" s="1156"/>
      <c r="D219" s="62"/>
      <c r="E219" s="1199" t="s">
        <v>1833</v>
      </c>
      <c r="F219" s="1155"/>
      <c r="G219" s="29"/>
      <c r="H219" s="24"/>
      <c r="I219" s="68"/>
      <c r="J219" s="1173">
        <f>'[2]January-June'!$AJ$355</f>
        <v>0</v>
      </c>
      <c r="K219" s="1175"/>
      <c r="L219" s="1173">
        <v>0</v>
      </c>
      <c r="M219" s="1175"/>
      <c r="N219" s="1173">
        <f>P219-L219</f>
        <v>30000</v>
      </c>
      <c r="O219" s="1174"/>
      <c r="P219" s="1173">
        <v>30000</v>
      </c>
      <c r="Q219" s="68"/>
      <c r="R219" s="1173">
        <v>0</v>
      </c>
    </row>
    <row r="220" spans="1:18" ht="12" customHeight="1">
      <c r="A220" s="1154"/>
      <c r="B220" s="1156"/>
      <c r="C220" s="1156"/>
      <c r="D220" s="62"/>
      <c r="E220" s="50" t="s">
        <v>1834</v>
      </c>
      <c r="F220" s="1155"/>
      <c r="G220" s="29"/>
      <c r="H220" s="24"/>
      <c r="I220" s="68"/>
      <c r="J220" s="1173">
        <f>'[2]January-June'!$AJ$355</f>
        <v>0</v>
      </c>
      <c r="K220" s="1175"/>
      <c r="L220" s="1173">
        <f>'[1]jan.-june'!$AN$164</f>
        <v>75000</v>
      </c>
      <c r="M220" s="1175"/>
      <c r="N220" s="1173">
        <f>P220-L220</f>
        <v>125000</v>
      </c>
      <c r="O220" s="1174"/>
      <c r="P220" s="1173">
        <v>200000</v>
      </c>
      <c r="Q220" s="68"/>
      <c r="R220" s="1173">
        <v>0</v>
      </c>
    </row>
    <row r="221" spans="1:18" ht="12" customHeight="1">
      <c r="A221" s="1154"/>
      <c r="B221" s="1156"/>
      <c r="C221" s="1156"/>
      <c r="D221" s="62" t="s">
        <v>1835</v>
      </c>
      <c r="E221" s="1156"/>
      <c r="F221" s="1155"/>
      <c r="G221" s="29" t="s">
        <v>183</v>
      </c>
      <c r="H221" s="24"/>
      <c r="I221" s="68"/>
      <c r="J221" s="1174"/>
      <c r="K221" s="1175"/>
      <c r="L221" s="1173"/>
      <c r="M221" s="1175"/>
      <c r="N221" s="1173"/>
      <c r="O221" s="1174"/>
      <c r="P221" s="1173"/>
      <c r="Q221" s="68"/>
      <c r="R221" s="1173"/>
    </row>
    <row r="222" spans="1:18" ht="12" customHeight="1">
      <c r="A222" s="1154"/>
      <c r="B222" s="1156"/>
      <c r="C222" s="1156"/>
      <c r="D222" s="62"/>
      <c r="E222" s="50" t="s">
        <v>1836</v>
      </c>
      <c r="F222" s="1155"/>
      <c r="G222" s="29"/>
      <c r="H222" s="24"/>
      <c r="I222" s="68"/>
      <c r="J222" s="1173">
        <f>'[2]January-June'!$AJ$355</f>
        <v>0</v>
      </c>
      <c r="K222" s="1175"/>
      <c r="L222" s="1173">
        <v>0</v>
      </c>
      <c r="M222" s="1175"/>
      <c r="N222" s="1173">
        <f>P222-L222</f>
        <v>3000000</v>
      </c>
      <c r="O222" s="1174"/>
      <c r="P222" s="1173">
        <v>3000000</v>
      </c>
      <c r="Q222" s="68"/>
      <c r="R222" s="1173">
        <v>0</v>
      </c>
    </row>
    <row r="223" spans="1:18" ht="12" customHeight="1">
      <c r="A223" s="1154"/>
      <c r="B223" s="1156"/>
      <c r="C223" s="1156"/>
      <c r="D223" s="62" t="s">
        <v>1837</v>
      </c>
      <c r="E223" s="1156"/>
      <c r="F223" s="1155"/>
      <c r="G223" s="29" t="s">
        <v>1838</v>
      </c>
      <c r="H223" s="24"/>
      <c r="I223" s="68"/>
      <c r="J223" s="1174"/>
      <c r="K223" s="1175"/>
      <c r="L223" s="1173"/>
      <c r="M223" s="1175"/>
      <c r="N223" s="1173"/>
      <c r="O223" s="1174"/>
      <c r="P223" s="1173"/>
      <c r="Q223" s="68"/>
      <c r="R223" s="1173"/>
    </row>
    <row r="224" spans="1:18" ht="12" customHeight="1">
      <c r="A224" s="1154"/>
      <c r="B224" s="1156"/>
      <c r="C224" s="1156"/>
      <c r="D224" s="62"/>
      <c r="E224" s="50" t="s">
        <v>1839</v>
      </c>
      <c r="F224" s="1155"/>
      <c r="G224" s="29"/>
      <c r="H224" s="24"/>
      <c r="I224" s="68"/>
      <c r="J224" s="1173">
        <f>'[2]January-June'!$AJ$355</f>
        <v>0</v>
      </c>
      <c r="K224" s="1175"/>
      <c r="L224" s="1173">
        <v>0</v>
      </c>
      <c r="M224" s="1175"/>
      <c r="N224" s="1173">
        <f>P224-L224</f>
        <v>400000</v>
      </c>
      <c r="O224" s="1174"/>
      <c r="P224" s="1173">
        <v>400000</v>
      </c>
      <c r="Q224" s="68"/>
      <c r="R224" s="1173">
        <v>0</v>
      </c>
    </row>
    <row r="225" spans="1:18" ht="12" customHeight="1">
      <c r="A225" s="1154"/>
      <c r="B225" s="1156"/>
      <c r="C225" s="1156"/>
      <c r="D225" s="62" t="s">
        <v>1840</v>
      </c>
      <c r="E225" s="1156"/>
      <c r="F225" s="1155"/>
      <c r="G225" s="29" t="s">
        <v>341</v>
      </c>
      <c r="H225" s="24"/>
      <c r="I225" s="68"/>
      <c r="J225" s="1174"/>
      <c r="K225" s="1175"/>
      <c r="L225" s="1173"/>
      <c r="M225" s="1175"/>
      <c r="N225" s="1173"/>
      <c r="O225" s="1174"/>
      <c r="P225" s="1173"/>
      <c r="Q225" s="68"/>
      <c r="R225" s="1173"/>
    </row>
    <row r="226" spans="1:18" ht="12" customHeight="1">
      <c r="A226" s="1154"/>
      <c r="B226" s="1156"/>
      <c r="C226" s="1156"/>
      <c r="D226" s="62"/>
      <c r="E226" s="50" t="s">
        <v>1841</v>
      </c>
      <c r="F226" s="1155"/>
      <c r="G226" s="29"/>
      <c r="H226" s="24"/>
      <c r="I226" s="68"/>
      <c r="J226" s="1173">
        <v>141675.75</v>
      </c>
      <c r="K226" s="1175"/>
      <c r="L226" s="1173">
        <v>0</v>
      </c>
      <c r="M226" s="1175"/>
      <c r="N226" s="1173">
        <f>P226-L226</f>
        <v>0</v>
      </c>
      <c r="O226" s="1174"/>
      <c r="P226" s="1173">
        <v>0</v>
      </c>
      <c r="Q226" s="68"/>
      <c r="R226" s="1173">
        <v>0</v>
      </c>
    </row>
    <row r="227" spans="1:18" ht="12" customHeight="1">
      <c r="A227" s="1154"/>
      <c r="B227" s="1156"/>
      <c r="C227" s="1156"/>
      <c r="D227" s="62" t="s">
        <v>1315</v>
      </c>
      <c r="E227" s="1156"/>
      <c r="F227" s="1155"/>
      <c r="G227" s="29" t="s">
        <v>862</v>
      </c>
      <c r="H227" s="24"/>
      <c r="I227" s="68"/>
      <c r="J227" s="1174"/>
      <c r="K227" s="1175"/>
      <c r="L227" s="1173"/>
      <c r="M227" s="1175"/>
      <c r="N227" s="1173"/>
      <c r="O227" s="1174"/>
      <c r="P227" s="1173"/>
      <c r="Q227" s="68"/>
      <c r="R227" s="1173"/>
    </row>
    <row r="228" spans="1:18" ht="12" customHeight="1">
      <c r="A228" s="1154"/>
      <c r="B228" s="1156"/>
      <c r="C228" s="1156"/>
      <c r="D228" s="62"/>
      <c r="E228" s="50" t="s">
        <v>1842</v>
      </c>
      <c r="F228" s="1155"/>
      <c r="G228" s="29"/>
      <c r="H228" s="24"/>
      <c r="I228" s="68"/>
      <c r="J228" s="1174">
        <v>9500000</v>
      </c>
      <c r="K228" s="1175"/>
      <c r="L228" s="1173">
        <v>0</v>
      </c>
      <c r="M228" s="1175"/>
      <c r="N228" s="1173">
        <f>P228-L228</f>
        <v>0</v>
      </c>
      <c r="O228" s="1174"/>
      <c r="P228" s="1173">
        <v>0</v>
      </c>
      <c r="Q228" s="68"/>
      <c r="R228" s="1173">
        <v>0</v>
      </c>
    </row>
    <row r="229" spans="1:18" ht="12" customHeight="1">
      <c r="A229" s="1154"/>
      <c r="B229" s="1156"/>
      <c r="C229" s="1156"/>
      <c r="D229" s="62" t="s">
        <v>1332</v>
      </c>
      <c r="E229" s="1156"/>
      <c r="F229" s="1155"/>
      <c r="G229" s="1241" t="s">
        <v>997</v>
      </c>
      <c r="H229" s="24"/>
      <c r="I229" s="68"/>
      <c r="J229" s="1174"/>
      <c r="K229" s="1175"/>
      <c r="L229" s="1173"/>
      <c r="M229" s="1175"/>
      <c r="N229" s="1173"/>
      <c r="O229" s="1174"/>
      <c r="P229" s="1173"/>
      <c r="Q229" s="68"/>
      <c r="R229" s="1173"/>
    </row>
    <row r="230" spans="1:18" ht="12" customHeight="1">
      <c r="A230" s="1154"/>
      <c r="B230" s="1156"/>
      <c r="C230" s="1156"/>
      <c r="D230" s="62"/>
      <c r="E230" s="50" t="s">
        <v>1843</v>
      </c>
      <c r="F230" s="1155"/>
      <c r="G230" s="1241"/>
      <c r="H230" s="24"/>
      <c r="I230" s="68"/>
      <c r="J230" s="1174"/>
      <c r="K230" s="1175"/>
      <c r="L230" s="1173"/>
      <c r="M230" s="1175"/>
      <c r="N230" s="1173"/>
      <c r="O230" s="1174"/>
      <c r="P230" s="1173"/>
      <c r="Q230" s="68"/>
      <c r="R230" s="1173"/>
    </row>
    <row r="231" spans="1:18" ht="12" customHeight="1">
      <c r="A231" s="1154"/>
      <c r="B231" s="1156"/>
      <c r="C231" s="1156"/>
      <c r="D231" s="62"/>
      <c r="E231" s="62" t="s">
        <v>1844</v>
      </c>
      <c r="F231" s="1155"/>
      <c r="G231" s="1241"/>
      <c r="H231" s="24"/>
      <c r="I231" s="68"/>
      <c r="J231" s="1174">
        <v>17078135.989999998</v>
      </c>
      <c r="K231" s="1175"/>
      <c r="L231" s="1173">
        <v>0</v>
      </c>
      <c r="M231" s="1175"/>
      <c r="N231" s="1173">
        <f>P231-L231</f>
        <v>0</v>
      </c>
      <c r="O231" s="1174"/>
      <c r="P231" s="1173">
        <v>0</v>
      </c>
      <c r="Q231" s="68"/>
      <c r="R231" s="1173">
        <v>0</v>
      </c>
    </row>
    <row r="232" spans="1:18" ht="12" customHeight="1">
      <c r="A232" s="1154"/>
      <c r="B232" s="1156"/>
      <c r="C232" s="1156"/>
      <c r="D232" s="62"/>
      <c r="E232" s="50" t="s">
        <v>1845</v>
      </c>
      <c r="F232" s="1155"/>
      <c r="G232" s="1241"/>
      <c r="H232" s="24"/>
      <c r="I232" s="68"/>
      <c r="J232" s="1174"/>
      <c r="K232" s="1175"/>
      <c r="L232" s="1173"/>
      <c r="M232" s="1175"/>
      <c r="N232" s="1173"/>
      <c r="O232" s="1174"/>
      <c r="P232" s="1173"/>
      <c r="Q232" s="68"/>
      <c r="R232" s="1173"/>
    </row>
    <row r="233" spans="1:18" ht="12" customHeight="1">
      <c r="A233" s="1154"/>
      <c r="B233" s="1156"/>
      <c r="C233" s="1156"/>
      <c r="D233" s="62"/>
      <c r="E233" s="62" t="s">
        <v>1846</v>
      </c>
      <c r="F233" s="1155"/>
      <c r="G233" s="1241"/>
      <c r="H233" s="24"/>
      <c r="I233" s="68"/>
      <c r="J233" s="1174">
        <v>3873969.86</v>
      </c>
      <c r="K233" s="1175"/>
      <c r="L233" s="1173">
        <v>0</v>
      </c>
      <c r="M233" s="1175"/>
      <c r="N233" s="1173">
        <f>P233-L233</f>
        <v>0</v>
      </c>
      <c r="O233" s="1174"/>
      <c r="P233" s="1173">
        <v>0</v>
      </c>
      <c r="Q233" s="68"/>
      <c r="R233" s="1173">
        <v>0</v>
      </c>
    </row>
    <row r="234" spans="1:18" ht="12" customHeight="1">
      <c r="A234" s="1154"/>
      <c r="B234" s="1156"/>
      <c r="C234" s="1156"/>
      <c r="D234" s="62"/>
      <c r="E234" s="50" t="s">
        <v>1847</v>
      </c>
      <c r="F234" s="1155"/>
      <c r="G234" s="1241"/>
      <c r="H234" s="24"/>
      <c r="I234" s="68"/>
      <c r="J234" s="1174"/>
      <c r="K234" s="1175"/>
      <c r="L234" s="1173"/>
      <c r="M234" s="1175"/>
      <c r="N234" s="1173"/>
      <c r="O234" s="1174"/>
      <c r="P234" s="1173"/>
      <c r="Q234" s="68"/>
      <c r="R234" s="1173"/>
    </row>
    <row r="235" spans="1:18" ht="12" customHeight="1">
      <c r="A235" s="1154"/>
      <c r="B235" s="1156"/>
      <c r="C235" s="1156"/>
      <c r="D235" s="62"/>
      <c r="E235" s="62" t="s">
        <v>1848</v>
      </c>
      <c r="F235" s="1155"/>
      <c r="G235" s="1241"/>
      <c r="H235" s="24"/>
      <c r="I235" s="68"/>
      <c r="J235" s="1174">
        <v>3817215.92</v>
      </c>
      <c r="K235" s="1175"/>
      <c r="L235" s="1173">
        <v>0</v>
      </c>
      <c r="M235" s="1175"/>
      <c r="N235" s="1173">
        <f>P235-L235</f>
        <v>0</v>
      </c>
      <c r="O235" s="1174"/>
      <c r="P235" s="1173">
        <v>0</v>
      </c>
      <c r="Q235" s="68"/>
      <c r="R235" s="1173">
        <v>0</v>
      </c>
    </row>
    <row r="236" spans="1:18" ht="12" customHeight="1">
      <c r="A236" s="1154"/>
      <c r="B236" s="1156"/>
      <c r="C236" s="1156"/>
      <c r="D236" s="62"/>
      <c r="E236" s="50" t="s">
        <v>1849</v>
      </c>
      <c r="F236" s="1155"/>
      <c r="G236" s="1241"/>
      <c r="H236" s="24"/>
      <c r="I236" s="68"/>
      <c r="J236" s="1174"/>
      <c r="K236" s="1175"/>
      <c r="L236" s="1173"/>
      <c r="M236" s="1175"/>
      <c r="N236" s="1173"/>
      <c r="O236" s="1174"/>
      <c r="P236" s="1173"/>
      <c r="Q236" s="68"/>
      <c r="R236" s="1173"/>
    </row>
    <row r="237" spans="1:18" ht="12" customHeight="1">
      <c r="A237" s="1154"/>
      <c r="B237" s="1156"/>
      <c r="C237" s="1156"/>
      <c r="D237" s="62"/>
      <c r="E237" s="62" t="s">
        <v>1848</v>
      </c>
      <c r="F237" s="1155"/>
      <c r="G237" s="1241"/>
      <c r="H237" s="24"/>
      <c r="I237" s="68"/>
      <c r="J237" s="1174">
        <v>6281525.21</v>
      </c>
      <c r="K237" s="1175"/>
      <c r="L237" s="1173">
        <v>0</v>
      </c>
      <c r="M237" s="1175"/>
      <c r="N237" s="1173">
        <f>P237-L237</f>
        <v>0</v>
      </c>
      <c r="O237" s="1174"/>
      <c r="P237" s="1173">
        <v>0</v>
      </c>
      <c r="Q237" s="68"/>
      <c r="R237" s="1173">
        <v>0</v>
      </c>
    </row>
    <row r="238" spans="1:18" ht="12" customHeight="1">
      <c r="A238" s="1154"/>
      <c r="B238" s="1156"/>
      <c r="C238" s="1156"/>
      <c r="D238" s="62"/>
      <c r="E238" s="50" t="s">
        <v>1850</v>
      </c>
      <c r="F238" s="1155"/>
      <c r="G238" s="1241"/>
      <c r="H238" s="24"/>
      <c r="I238" s="68"/>
      <c r="J238" s="1174"/>
      <c r="K238" s="1175"/>
      <c r="L238" s="1173"/>
      <c r="M238" s="1175"/>
      <c r="N238" s="1173"/>
      <c r="O238" s="1174"/>
      <c r="P238" s="1173"/>
      <c r="Q238" s="68"/>
      <c r="R238" s="1173"/>
    </row>
    <row r="239" spans="1:18" ht="12" customHeight="1">
      <c r="A239" s="1154"/>
      <c r="B239" s="1156"/>
      <c r="C239" s="1156"/>
      <c r="D239" s="62"/>
      <c r="E239" s="62" t="s">
        <v>1851</v>
      </c>
      <c r="F239" s="1155"/>
      <c r="G239" s="1241"/>
      <c r="H239" s="24"/>
      <c r="I239" s="68"/>
      <c r="J239" s="1174"/>
      <c r="K239" s="1175"/>
      <c r="L239" s="1173"/>
      <c r="M239" s="1175"/>
      <c r="N239" s="1173"/>
      <c r="O239" s="1174"/>
      <c r="P239" s="1173"/>
      <c r="Q239" s="68"/>
      <c r="R239" s="1173"/>
    </row>
    <row r="240" spans="1:18" ht="12" customHeight="1">
      <c r="A240" s="1154"/>
      <c r="B240" s="1156"/>
      <c r="C240" s="1156"/>
      <c r="D240" s="62"/>
      <c r="E240" s="62" t="s">
        <v>1852</v>
      </c>
      <c r="F240" s="1155"/>
      <c r="G240" s="1241"/>
      <c r="H240" s="24"/>
      <c r="I240" s="68"/>
      <c r="J240" s="1174">
        <v>4025875.11</v>
      </c>
      <c r="K240" s="1175"/>
      <c r="L240" s="1173">
        <v>0</v>
      </c>
      <c r="M240" s="1175"/>
      <c r="N240" s="1173">
        <f>P240-L240</f>
        <v>0</v>
      </c>
      <c r="O240" s="1174"/>
      <c r="P240" s="1173">
        <v>0</v>
      </c>
      <c r="Q240" s="68"/>
      <c r="R240" s="1173">
        <v>0</v>
      </c>
    </row>
    <row r="241" spans="1:18" ht="12" customHeight="1">
      <c r="A241" s="1154"/>
      <c r="B241" s="1156"/>
      <c r="C241" s="1156"/>
      <c r="D241" s="62"/>
      <c r="E241" s="50" t="s">
        <v>1853</v>
      </c>
      <c r="F241" s="1155"/>
      <c r="G241" s="1241"/>
      <c r="H241" s="24"/>
      <c r="I241" s="68"/>
      <c r="J241" s="1174"/>
      <c r="K241" s="1175"/>
      <c r="L241" s="1173"/>
      <c r="M241" s="1175"/>
      <c r="N241" s="1173"/>
      <c r="O241" s="1174"/>
      <c r="P241" s="1173"/>
      <c r="Q241" s="68"/>
      <c r="R241" s="1173"/>
    </row>
    <row r="242" spans="1:18" ht="12" customHeight="1">
      <c r="A242" s="1154"/>
      <c r="B242" s="1156"/>
      <c r="C242" s="1156"/>
      <c r="D242" s="62"/>
      <c r="E242" s="62" t="s">
        <v>1854</v>
      </c>
      <c r="F242" s="1155"/>
      <c r="G242" s="1241"/>
      <c r="H242" s="24"/>
      <c r="I242" s="68"/>
      <c r="J242" s="1174">
        <v>4950000</v>
      </c>
      <c r="K242" s="1175"/>
      <c r="L242" s="1173">
        <v>0</v>
      </c>
      <c r="M242" s="1175"/>
      <c r="N242" s="1173">
        <f>P242-L242</f>
        <v>0</v>
      </c>
      <c r="O242" s="1174"/>
      <c r="P242" s="1173">
        <v>0</v>
      </c>
      <c r="Q242" s="68"/>
      <c r="R242" s="1173">
        <v>0</v>
      </c>
    </row>
    <row r="243" spans="1:18" ht="12" customHeight="1">
      <c r="A243" s="1154"/>
      <c r="B243" s="1156"/>
      <c r="C243" s="1156"/>
      <c r="D243" s="62"/>
      <c r="E243" s="50" t="s">
        <v>1845</v>
      </c>
      <c r="F243" s="1155"/>
      <c r="G243" s="1241"/>
      <c r="H243" s="24"/>
      <c r="I243" s="68"/>
      <c r="J243" s="1174"/>
      <c r="K243" s="1175"/>
      <c r="L243" s="1173"/>
      <c r="M243" s="1175"/>
      <c r="N243" s="1173"/>
      <c r="O243" s="1174"/>
      <c r="P243" s="1173"/>
      <c r="Q243" s="68"/>
      <c r="R243" s="1173"/>
    </row>
    <row r="244" spans="1:18" ht="12" customHeight="1">
      <c r="A244" s="1154"/>
      <c r="B244" s="1156"/>
      <c r="C244" s="1156"/>
      <c r="D244" s="62"/>
      <c r="E244" s="62" t="s">
        <v>1855</v>
      </c>
      <c r="F244" s="1155"/>
      <c r="G244" s="1241"/>
      <c r="H244" s="24"/>
      <c r="I244" s="68"/>
      <c r="J244" s="1174">
        <v>4920764.4800000004</v>
      </c>
      <c r="K244" s="1175"/>
      <c r="L244" s="1173">
        <v>0</v>
      </c>
      <c r="M244" s="1175"/>
      <c r="N244" s="1173">
        <f>P244-L244</f>
        <v>0</v>
      </c>
      <c r="O244" s="1174"/>
      <c r="P244" s="1173">
        <v>0</v>
      </c>
      <c r="Q244" s="68"/>
      <c r="R244" s="1173">
        <v>0</v>
      </c>
    </row>
    <row r="245" spans="1:18" ht="12" customHeight="1">
      <c r="A245" s="1154"/>
      <c r="B245" s="1156"/>
      <c r="C245" s="1156"/>
      <c r="D245" s="62" t="s">
        <v>1115</v>
      </c>
      <c r="E245" s="1156"/>
      <c r="F245" s="1155"/>
      <c r="G245" s="29" t="s">
        <v>1116</v>
      </c>
      <c r="H245" s="24"/>
      <c r="I245" s="68"/>
      <c r="J245" s="1174"/>
      <c r="K245" s="1175"/>
      <c r="L245" s="1173"/>
      <c r="M245" s="1175"/>
      <c r="N245" s="1173"/>
      <c r="O245" s="1174"/>
      <c r="P245" s="1173"/>
      <c r="Q245" s="68"/>
      <c r="R245" s="1173"/>
    </row>
    <row r="246" spans="1:18" ht="12" customHeight="1">
      <c r="A246" s="1154"/>
      <c r="B246" s="1156"/>
      <c r="C246" s="1156"/>
      <c r="D246" s="62"/>
      <c r="E246" s="1199" t="s">
        <v>1856</v>
      </c>
      <c r="F246" s="1155"/>
      <c r="G246" s="29"/>
      <c r="H246" s="24"/>
      <c r="I246" s="68"/>
      <c r="J246" s="1173">
        <v>0</v>
      </c>
      <c r="K246" s="1174"/>
      <c r="L246" s="1173">
        <v>0</v>
      </c>
      <c r="M246" s="1175"/>
      <c r="N246" s="1173">
        <f>P246-L246</f>
        <v>40000</v>
      </c>
      <c r="O246" s="1174"/>
      <c r="P246" s="1173">
        <v>40000</v>
      </c>
      <c r="Q246" s="68"/>
      <c r="R246" s="1173">
        <v>0</v>
      </c>
    </row>
    <row r="247" spans="1:18" ht="12" customHeight="1">
      <c r="A247" s="1154"/>
      <c r="B247" s="1156"/>
      <c r="C247" s="1156"/>
      <c r="D247" s="62" t="s">
        <v>50</v>
      </c>
      <c r="E247" s="1156"/>
      <c r="F247" s="1155"/>
      <c r="G247" s="29" t="s">
        <v>156</v>
      </c>
      <c r="H247" s="24"/>
      <c r="I247" s="68"/>
      <c r="J247" s="1173"/>
      <c r="K247" s="1174"/>
      <c r="L247" s="1174"/>
      <c r="M247" s="1175"/>
      <c r="N247" s="1173"/>
      <c r="O247" s="1174"/>
      <c r="P247" s="1173"/>
      <c r="Q247" s="68"/>
      <c r="R247" s="1173"/>
    </row>
    <row r="248" spans="1:18" ht="12" customHeight="1">
      <c r="A248" s="1154"/>
      <c r="B248" s="1156"/>
      <c r="C248" s="1156"/>
      <c r="D248" s="62" t="s">
        <v>50</v>
      </c>
      <c r="E248" s="1199" t="s">
        <v>1857</v>
      </c>
      <c r="F248" s="1155"/>
      <c r="G248" s="29"/>
      <c r="H248" s="24"/>
      <c r="I248" s="68"/>
      <c r="J248" s="1173">
        <v>220800</v>
      </c>
      <c r="K248" s="1174"/>
      <c r="L248" s="1174">
        <f>'[1]jan.-june'!$AN$167+'[1]jan.-june'!$AN$168</f>
        <v>284915</v>
      </c>
      <c r="M248" s="1175"/>
      <c r="N248" s="1173">
        <f>P248-L248</f>
        <v>835085</v>
      </c>
      <c r="O248" s="1174"/>
      <c r="P248" s="1173">
        <v>1120000</v>
      </c>
      <c r="Q248" s="68"/>
      <c r="R248" s="1173">
        <v>0</v>
      </c>
    </row>
    <row r="249" spans="1:18" ht="12" customHeight="1">
      <c r="A249" s="1154"/>
      <c r="B249" s="1156"/>
      <c r="C249" s="1156"/>
      <c r="D249" s="62"/>
      <c r="E249" s="1199" t="s">
        <v>1858</v>
      </c>
      <c r="F249" s="1155"/>
      <c r="G249" s="29"/>
      <c r="H249" s="24"/>
      <c r="I249" s="68"/>
      <c r="J249" s="1173">
        <f>'[2]January-June'!$AJ$355</f>
        <v>0</v>
      </c>
      <c r="K249" s="1174"/>
      <c r="L249" s="1174">
        <v>0</v>
      </c>
      <c r="M249" s="1175"/>
      <c r="N249" s="1173">
        <f>P249-L249</f>
        <v>1900000</v>
      </c>
      <c r="O249" s="1174"/>
      <c r="P249" s="1173">
        <v>1900000</v>
      </c>
      <c r="Q249" s="68"/>
      <c r="R249" s="1173">
        <v>0</v>
      </c>
    </row>
    <row r="250" spans="1:18" ht="12" customHeight="1">
      <c r="A250" s="1154"/>
      <c r="B250" s="1156"/>
      <c r="C250" s="1156"/>
      <c r="D250" s="62"/>
      <c r="E250" s="1199" t="s">
        <v>1859</v>
      </c>
      <c r="F250" s="1155"/>
      <c r="G250" s="29"/>
      <c r="H250" s="24"/>
      <c r="I250" s="68"/>
      <c r="J250" s="1173">
        <f>'[2]January-June'!$AJ$355</f>
        <v>0</v>
      </c>
      <c r="K250" s="1174"/>
      <c r="L250" s="1174">
        <v>0</v>
      </c>
      <c r="M250" s="1175"/>
      <c r="N250" s="1173">
        <f>P250-L250</f>
        <v>3700000</v>
      </c>
      <c r="O250" s="1174"/>
      <c r="P250" s="1173">
        <v>3700000</v>
      </c>
      <c r="Q250" s="68"/>
      <c r="R250" s="1173">
        <v>0</v>
      </c>
    </row>
    <row r="251" spans="1:18" ht="12" customHeight="1">
      <c r="A251" s="1154"/>
      <c r="B251" s="1156"/>
      <c r="C251" s="1156"/>
      <c r="D251" s="62"/>
      <c r="E251" s="1199" t="s">
        <v>1860</v>
      </c>
      <c r="F251" s="1155"/>
      <c r="G251" s="29"/>
      <c r="H251" s="24"/>
      <c r="I251" s="68"/>
      <c r="J251" s="1173">
        <v>249000</v>
      </c>
      <c r="K251" s="1174"/>
      <c r="L251" s="1174">
        <v>0</v>
      </c>
      <c r="M251" s="1175"/>
      <c r="N251" s="1173">
        <f>P251-L251</f>
        <v>0</v>
      </c>
      <c r="O251" s="1174"/>
      <c r="P251" s="1173">
        <v>0</v>
      </c>
      <c r="Q251" s="68"/>
      <c r="R251" s="1173">
        <v>0</v>
      </c>
    </row>
    <row r="252" spans="1:18" ht="12" customHeight="1">
      <c r="A252" s="1154"/>
      <c r="B252" s="1156"/>
      <c r="C252" s="1156"/>
      <c r="D252" s="62" t="s">
        <v>1861</v>
      </c>
      <c r="E252" s="1199" t="s">
        <v>1862</v>
      </c>
      <c r="F252" s="1155"/>
      <c r="G252" s="29"/>
      <c r="H252" s="24"/>
      <c r="I252" s="68"/>
      <c r="J252" s="1173">
        <f>'[2]January-June'!$AJ$355</f>
        <v>0</v>
      </c>
      <c r="K252" s="1174"/>
      <c r="L252" s="1174">
        <v>0</v>
      </c>
      <c r="M252" s="1175"/>
      <c r="N252" s="1173">
        <f>P252-L252</f>
        <v>650000</v>
      </c>
      <c r="O252" s="1174"/>
      <c r="P252" s="1173">
        <v>650000</v>
      </c>
      <c r="Q252" s="68"/>
      <c r="R252" s="1173">
        <v>0</v>
      </c>
    </row>
    <row r="253" spans="1:18" ht="12" customHeight="1">
      <c r="A253" s="1154"/>
      <c r="B253" s="1156"/>
      <c r="C253" s="1252" t="s">
        <v>16</v>
      </c>
      <c r="D253" s="1252"/>
      <c r="E253" s="1252"/>
      <c r="F253" s="1253"/>
      <c r="G253" s="29"/>
      <c r="H253" s="24"/>
      <c r="I253" s="1213" t="s">
        <v>15</v>
      </c>
      <c r="J253" s="1214">
        <f>SUM(J168:J252)</f>
        <v>57360517.319999993</v>
      </c>
      <c r="K253" s="1242" t="s">
        <v>15</v>
      </c>
      <c r="L253" s="1214">
        <f>SUM(L168:L252)</f>
        <v>1136514</v>
      </c>
      <c r="M253" s="1213" t="s">
        <v>15</v>
      </c>
      <c r="N253" s="1214">
        <f>SUM(N168:N252)</f>
        <v>18550010</v>
      </c>
      <c r="O253" s="1242" t="s">
        <v>15</v>
      </c>
      <c r="P253" s="1214">
        <f>SUM(P168:P252)</f>
        <v>19686524</v>
      </c>
      <c r="Q253" s="1213" t="s">
        <v>15</v>
      </c>
      <c r="R253" s="1214">
        <f>SUM(R168:R252)</f>
        <v>0</v>
      </c>
    </row>
    <row r="254" spans="1:18" ht="12" customHeight="1">
      <c r="A254" s="1154"/>
      <c r="B254" s="1235" t="s">
        <v>503</v>
      </c>
      <c r="C254" s="1156"/>
      <c r="D254" s="1156"/>
      <c r="E254" s="1156"/>
      <c r="F254" s="1155"/>
      <c r="G254" s="29"/>
      <c r="H254" s="24"/>
      <c r="I254" s="1177"/>
      <c r="J254" s="1178"/>
      <c r="K254" s="1179"/>
      <c r="L254" s="1179"/>
      <c r="M254" s="1180"/>
      <c r="N254" s="1178"/>
      <c r="O254" s="1179"/>
      <c r="P254" s="1179"/>
      <c r="Q254" s="1177"/>
      <c r="R254" s="1178"/>
    </row>
    <row r="255" spans="1:18" ht="12" customHeight="1">
      <c r="A255" s="1154"/>
      <c r="B255" s="62" t="s">
        <v>1863</v>
      </c>
      <c r="C255" s="1156"/>
      <c r="D255" s="1156"/>
      <c r="E255" s="1156"/>
      <c r="F255" s="1155"/>
      <c r="G255" s="29" t="s">
        <v>505</v>
      </c>
      <c r="H255" s="24"/>
      <c r="I255" s="68" t="s">
        <v>15</v>
      </c>
      <c r="J255" s="1173">
        <v>24100</v>
      </c>
      <c r="K255" s="62" t="s">
        <v>15</v>
      </c>
      <c r="L255" s="1173">
        <f>'[2]January-June'!$AJ$355</f>
        <v>0</v>
      </c>
      <c r="M255" s="68" t="s">
        <v>15</v>
      </c>
      <c r="N255" s="1173">
        <f>P255-L255</f>
        <v>100000</v>
      </c>
      <c r="O255" s="68" t="s">
        <v>15</v>
      </c>
      <c r="P255" s="1173">
        <f>'[3]Financial Expenses (8-1-19)'!$AM$10</f>
        <v>100000</v>
      </c>
      <c r="Q255" s="411" t="s">
        <v>15</v>
      </c>
      <c r="R255" s="1176">
        <v>100000</v>
      </c>
    </row>
    <row r="256" spans="1:18" ht="12" customHeight="1">
      <c r="A256" s="1154"/>
      <c r="B256" s="62"/>
      <c r="C256" s="1156"/>
      <c r="D256" s="1156"/>
      <c r="E256" s="1156"/>
      <c r="F256" s="1155"/>
      <c r="G256" s="29"/>
      <c r="H256" s="24"/>
      <c r="I256" s="68"/>
      <c r="J256" s="1173"/>
      <c r="K256" s="62"/>
      <c r="L256" s="1174"/>
      <c r="M256" s="68"/>
      <c r="N256" s="1173"/>
      <c r="O256" s="62"/>
      <c r="P256" s="1174"/>
      <c r="Q256" s="1193"/>
      <c r="R256" s="1194"/>
    </row>
    <row r="257" spans="1:21" ht="12" customHeight="1">
      <c r="A257" s="1251" t="s">
        <v>1864</v>
      </c>
      <c r="B257" s="1252"/>
      <c r="C257" s="1252"/>
      <c r="D257" s="1252"/>
      <c r="E257" s="1252"/>
      <c r="F257" s="1253"/>
      <c r="G257" s="24"/>
      <c r="H257" s="24"/>
      <c r="I257" s="1213" t="s">
        <v>15</v>
      </c>
      <c r="J257" s="1214">
        <f>SUM(J255:J256)</f>
        <v>24100</v>
      </c>
      <c r="K257" s="1213" t="s">
        <v>15</v>
      </c>
      <c r="L257" s="1214">
        <f>SUM(L255:L256)</f>
        <v>0</v>
      </c>
      <c r="M257" s="1213" t="s">
        <v>15</v>
      </c>
      <c r="N257" s="1214">
        <f>SUM(N255:N256)</f>
        <v>100000</v>
      </c>
      <c r="O257" s="1213" t="s">
        <v>15</v>
      </c>
      <c r="P257" s="1214">
        <f>SUM(P255:P256)</f>
        <v>100000</v>
      </c>
      <c r="Q257" s="1213" t="s">
        <v>15</v>
      </c>
      <c r="R257" s="1214">
        <f>SUM(R255:R256)</f>
        <v>100000</v>
      </c>
    </row>
    <row r="258" spans="1:21" ht="12" customHeight="1">
      <c r="A258" s="1154"/>
      <c r="B258" s="1235" t="s">
        <v>1865</v>
      </c>
      <c r="C258" s="1156"/>
      <c r="D258" s="1156"/>
      <c r="E258" s="1156"/>
      <c r="F258" s="1155"/>
      <c r="G258" s="29"/>
      <c r="H258" s="24"/>
      <c r="I258" s="68"/>
      <c r="J258" s="1173"/>
      <c r="K258" s="1174"/>
      <c r="L258" s="1174"/>
      <c r="M258" s="1175"/>
      <c r="N258" s="1173"/>
      <c r="O258" s="1174"/>
      <c r="P258" s="1174"/>
      <c r="Q258" s="68"/>
      <c r="R258" s="1173"/>
    </row>
    <row r="259" spans="1:21" ht="12" customHeight="1">
      <c r="A259" s="1154"/>
      <c r="B259" s="62" t="s">
        <v>1866</v>
      </c>
      <c r="C259" s="1156"/>
      <c r="D259" s="1156"/>
      <c r="E259" s="1156"/>
      <c r="F259" s="1155"/>
      <c r="G259" s="29"/>
      <c r="H259" s="24"/>
      <c r="I259" s="68" t="s">
        <v>15</v>
      </c>
      <c r="J259" s="1173">
        <v>53413927.890000001</v>
      </c>
      <c r="K259" s="62" t="s">
        <v>15</v>
      </c>
      <c r="L259" s="1173">
        <f>'[1]jan.-june'!$AN$197</f>
        <v>31517137.539999999</v>
      </c>
      <c r="M259" s="68" t="s">
        <v>15</v>
      </c>
      <c r="N259" s="1173">
        <f>P259-L259</f>
        <v>58637031.460000001</v>
      </c>
      <c r="O259" s="68" t="s">
        <v>15</v>
      </c>
      <c r="P259" s="1173">
        <v>90154169</v>
      </c>
      <c r="Q259" s="68" t="s">
        <v>15</v>
      </c>
      <c r="R259" s="1173">
        <v>77108950</v>
      </c>
    </row>
    <row r="260" spans="1:21" ht="12" customHeight="1">
      <c r="A260" s="1154"/>
      <c r="B260" s="62" t="s">
        <v>1867</v>
      </c>
      <c r="C260" s="1156"/>
      <c r="D260" s="1156"/>
      <c r="E260" s="1156"/>
      <c r="F260" s="1155"/>
      <c r="G260" s="29"/>
      <c r="H260" s="24"/>
      <c r="I260" s="68"/>
      <c r="J260" s="1173"/>
      <c r="K260" s="1174"/>
      <c r="L260" s="1174"/>
      <c r="M260" s="1175"/>
      <c r="N260" s="1173"/>
      <c r="O260" s="1174"/>
      <c r="P260" s="1173"/>
      <c r="Q260" s="68"/>
      <c r="R260" s="1173"/>
    </row>
    <row r="261" spans="1:21" ht="12" customHeight="1">
      <c r="A261" s="1154"/>
      <c r="B261" s="62" t="s">
        <v>1868</v>
      </c>
      <c r="C261" s="1156"/>
      <c r="D261" s="1156"/>
      <c r="E261" s="1156"/>
      <c r="F261" s="1155"/>
      <c r="G261" s="29"/>
      <c r="H261" s="24"/>
      <c r="I261" s="68"/>
      <c r="J261" s="1173">
        <v>15366707.359999999</v>
      </c>
      <c r="K261" s="1174"/>
      <c r="L261" s="1173">
        <f>'[1]jan.-june'!$AN$198</f>
        <v>7460182.8200000003</v>
      </c>
      <c r="M261" s="1175"/>
      <c r="N261" s="1173">
        <f>P261-L261</f>
        <v>19373360.18</v>
      </c>
      <c r="O261" s="1174"/>
      <c r="P261" s="1173">
        <v>26833543</v>
      </c>
      <c r="Q261" s="68"/>
      <c r="R261" s="1173">
        <v>23961338</v>
      </c>
    </row>
    <row r="262" spans="1:21" ht="12" customHeight="1">
      <c r="A262" s="1154"/>
      <c r="B262" s="62" t="s">
        <v>1869</v>
      </c>
      <c r="C262" s="1156"/>
      <c r="D262" s="1156"/>
      <c r="E262" s="1156"/>
      <c r="F262" s="1155"/>
      <c r="G262" s="29"/>
      <c r="H262" s="24"/>
      <c r="I262" s="68"/>
      <c r="J262" s="1173">
        <v>0</v>
      </c>
      <c r="K262" s="1174"/>
      <c r="L262" s="1173">
        <v>0</v>
      </c>
      <c r="M262" s="1175"/>
      <c r="N262" s="1173">
        <f>P262-L262</f>
        <v>0</v>
      </c>
      <c r="O262" s="1174"/>
      <c r="P262" s="1173">
        <v>0</v>
      </c>
      <c r="Q262" s="68"/>
      <c r="R262" s="1173">
        <v>0</v>
      </c>
    </row>
    <row r="263" spans="1:21" ht="12" customHeight="1">
      <c r="A263" s="1154"/>
      <c r="B263" s="62" t="s">
        <v>1870</v>
      </c>
      <c r="C263" s="1156"/>
      <c r="D263" s="1156"/>
      <c r="E263" s="1156"/>
      <c r="F263" s="1155"/>
      <c r="G263" s="29"/>
      <c r="H263" s="24"/>
      <c r="I263" s="68"/>
      <c r="J263" s="1173">
        <v>7859369.9199999999</v>
      </c>
      <c r="K263" s="1174"/>
      <c r="L263" s="1173">
        <f>'[1]jan.-june'!$AN$199</f>
        <v>6127376.9299999997</v>
      </c>
      <c r="M263" s="1175"/>
      <c r="N263" s="1173">
        <f>P263-L263</f>
        <v>14215254.07</v>
      </c>
      <c r="O263" s="1174"/>
      <c r="P263" s="1173">
        <v>20342631</v>
      </c>
      <c r="Q263" s="68"/>
      <c r="R263" s="1173">
        <v>19509400</v>
      </c>
    </row>
    <row r="264" spans="1:21" ht="12" customHeight="1">
      <c r="A264" s="1154"/>
      <c r="B264" s="62" t="s">
        <v>1871</v>
      </c>
      <c r="C264" s="1156"/>
      <c r="D264" s="1156"/>
      <c r="E264" s="1156"/>
      <c r="F264" s="1155"/>
      <c r="G264" s="29"/>
      <c r="H264" s="24"/>
      <c r="I264" s="68"/>
      <c r="J264" s="1173">
        <v>23901510.050000001</v>
      </c>
      <c r="K264" s="1174"/>
      <c r="L264" s="1173">
        <f>'[1]jan.-june'!$AN$200</f>
        <v>4932268.3099999996</v>
      </c>
      <c r="M264" s="1175"/>
      <c r="N264" s="1173">
        <f>P264-L264</f>
        <v>22483162.690000001</v>
      </c>
      <c r="O264" s="1174"/>
      <c r="P264" s="1173">
        <v>27415431</v>
      </c>
      <c r="Q264" s="68"/>
      <c r="R264" s="1173">
        <v>24784688</v>
      </c>
    </row>
    <row r="265" spans="1:21" ht="12" customHeight="1">
      <c r="A265" s="1154"/>
      <c r="B265" s="62" t="s">
        <v>1872</v>
      </c>
      <c r="C265" s="1156"/>
      <c r="D265" s="1156"/>
      <c r="E265" s="1156"/>
      <c r="F265" s="1155"/>
      <c r="G265" s="29"/>
      <c r="H265" s="24"/>
      <c r="I265" s="68"/>
      <c r="J265" s="1173">
        <v>20000</v>
      </c>
      <c r="K265" s="1174"/>
      <c r="L265" s="1173">
        <v>0</v>
      </c>
      <c r="M265" s="1175"/>
      <c r="N265" s="1173">
        <f>P265-L265</f>
        <v>20000</v>
      </c>
      <c r="O265" s="1174"/>
      <c r="P265" s="1176">
        <v>20000</v>
      </c>
      <c r="Q265" s="411"/>
      <c r="R265" s="1176">
        <v>100000</v>
      </c>
    </row>
    <row r="266" spans="1:21" ht="10.5" customHeight="1">
      <c r="A266" s="1251" t="s">
        <v>1873</v>
      </c>
      <c r="B266" s="1252"/>
      <c r="C266" s="1252"/>
      <c r="D266" s="1252"/>
      <c r="E266" s="1252"/>
      <c r="F266" s="1253"/>
      <c r="G266" s="24"/>
      <c r="H266" s="24"/>
      <c r="I266" s="1213" t="s">
        <v>15</v>
      </c>
      <c r="J266" s="1214">
        <f>SUM(J259:J265)</f>
        <v>100561515.22</v>
      </c>
      <c r="K266" s="1213" t="s">
        <v>15</v>
      </c>
      <c r="L266" s="1214">
        <f>SUM(L259:L265)</f>
        <v>50036965.600000001</v>
      </c>
      <c r="M266" s="1213" t="s">
        <v>15</v>
      </c>
      <c r="N266" s="1214">
        <f>SUM(N259:N265)</f>
        <v>114728808.40000001</v>
      </c>
      <c r="O266" s="1213" t="s">
        <v>15</v>
      </c>
      <c r="P266" s="1214">
        <f>SUM(P259:P265)</f>
        <v>164765774</v>
      </c>
      <c r="Q266" s="1213" t="s">
        <v>15</v>
      </c>
      <c r="R266" s="1214">
        <f>SUM(R259:R265)</f>
        <v>145464376</v>
      </c>
    </row>
    <row r="267" spans="1:21" ht="10.5" customHeight="1">
      <c r="A267" s="1154"/>
      <c r="B267" s="1181" t="s">
        <v>1874</v>
      </c>
      <c r="C267" s="1156"/>
      <c r="D267" s="1156"/>
      <c r="E267" s="1156"/>
      <c r="F267" s="1155"/>
      <c r="G267" s="24"/>
      <c r="H267" s="24"/>
      <c r="I267" s="1213" t="s">
        <v>15</v>
      </c>
      <c r="J267" s="1214">
        <f>J266+J253+J124+J165+J257</f>
        <v>432729085.55000001</v>
      </c>
      <c r="K267" s="1213" t="s">
        <v>15</v>
      </c>
      <c r="L267" s="1214">
        <f>L266+L253+L124+L165+L257</f>
        <v>194513456.24000001</v>
      </c>
      <c r="M267" s="1213" t="s">
        <v>15</v>
      </c>
      <c r="N267" s="1214">
        <f>N266+N253+N124+N165+N257</f>
        <v>398795158.76000005</v>
      </c>
      <c r="O267" s="1213" t="s">
        <v>15</v>
      </c>
      <c r="P267" s="1214">
        <f>P266+P253+P124+P165+P257</f>
        <v>593308615</v>
      </c>
      <c r="Q267" s="1213" t="s">
        <v>15</v>
      </c>
      <c r="R267" s="1214">
        <f>R266+R253+R124+R165+R257</f>
        <v>545693746</v>
      </c>
    </row>
    <row r="268" spans="1:21" ht="7.5" customHeight="1">
      <c r="A268" s="1154"/>
      <c r="B268" s="1156"/>
      <c r="C268" s="1156"/>
      <c r="D268" s="1156"/>
      <c r="E268" s="1156"/>
      <c r="F268" s="1155"/>
      <c r="G268" s="24"/>
      <c r="H268" s="24"/>
      <c r="I268" s="68"/>
      <c r="J268" s="1173"/>
      <c r="K268" s="1174"/>
      <c r="L268" s="1174"/>
      <c r="M268" s="1175"/>
      <c r="N268" s="1173"/>
      <c r="O268" s="1174"/>
      <c r="P268" s="1174"/>
      <c r="Q268" s="68"/>
      <c r="R268" s="1173"/>
    </row>
    <row r="269" spans="1:21" ht="12.75">
      <c r="A269" s="1243" t="s">
        <v>1875</v>
      </c>
      <c r="B269" s="12"/>
      <c r="C269" s="12"/>
      <c r="D269" s="12"/>
      <c r="E269" s="12"/>
      <c r="F269" s="82"/>
      <c r="G269" s="73"/>
      <c r="H269" s="73"/>
      <c r="I269" s="1213" t="s">
        <v>15</v>
      </c>
      <c r="J269" s="1214">
        <f>J87-J267</f>
        <v>10498810.380000055</v>
      </c>
      <c r="K269" s="1213" t="s">
        <v>15</v>
      </c>
      <c r="L269" s="1214">
        <f>L87-L267</f>
        <v>134656234.37</v>
      </c>
      <c r="M269" s="1213" t="s">
        <v>15</v>
      </c>
      <c r="N269" s="1214">
        <f>N87-N267</f>
        <v>-134656234.37000009</v>
      </c>
      <c r="O269" s="1213" t="s">
        <v>15</v>
      </c>
      <c r="P269" s="1214">
        <f>P87-P267</f>
        <v>0</v>
      </c>
      <c r="Q269" s="1213" t="s">
        <v>15</v>
      </c>
      <c r="R269" s="1214">
        <f>R87-R267</f>
        <v>0</v>
      </c>
    </row>
    <row r="270" spans="1:21" ht="6" customHeight="1"/>
    <row r="271" spans="1:21" s="1244" customFormat="1">
      <c r="E271" s="1244" t="s">
        <v>1876</v>
      </c>
      <c r="I271" s="1245"/>
      <c r="Q271" s="1245"/>
      <c r="S271" s="1246"/>
      <c r="T271" s="1246"/>
    </row>
    <row r="272" spans="1:21" s="1244" customFormat="1">
      <c r="A272" s="1244" t="s">
        <v>1877</v>
      </c>
      <c r="I272" s="1245"/>
      <c r="Q272" s="1245"/>
      <c r="S272" s="1246"/>
      <c r="T272" s="1246"/>
      <c r="U272" s="1244" t="s">
        <v>1878</v>
      </c>
    </row>
    <row r="276" spans="1:20" s="11" customFormat="1" ht="12.75">
      <c r="A276" s="11" t="s">
        <v>1879</v>
      </c>
      <c r="I276" s="1247"/>
      <c r="Q276" s="1247"/>
      <c r="S276" s="926"/>
      <c r="T276" s="926"/>
    </row>
    <row r="277" spans="1:20" s="1248" customFormat="1">
      <c r="A277" s="1248" t="s">
        <v>1880</v>
      </c>
      <c r="I277" s="1249"/>
      <c r="Q277" s="1249"/>
      <c r="S277" s="1250"/>
      <c r="T277" s="1250"/>
    </row>
    <row r="280" spans="1:20">
      <c r="E280" s="1244" t="s">
        <v>11</v>
      </c>
      <c r="G280" s="1244" t="s">
        <v>1881</v>
      </c>
    </row>
    <row r="283" spans="1:20" s="1187" customFormat="1" ht="12.75">
      <c r="A283" s="1254" t="s">
        <v>1585</v>
      </c>
      <c r="B283" s="1254"/>
      <c r="C283" s="1254"/>
      <c r="D283" s="1254"/>
      <c r="E283" s="1254"/>
      <c r="F283" s="1254"/>
      <c r="G283" s="1254"/>
      <c r="H283" s="1254"/>
      <c r="I283" s="1254"/>
      <c r="J283" s="1254"/>
      <c r="K283" s="1254"/>
      <c r="L283" s="1254"/>
      <c r="M283" s="1254"/>
      <c r="N283" s="1254"/>
      <c r="O283" s="1254"/>
      <c r="P283" s="1254"/>
      <c r="Q283" s="1254"/>
      <c r="R283" s="1254"/>
      <c r="S283" s="1186"/>
      <c r="T283" s="1186"/>
    </row>
    <row r="284" spans="1:20" s="1248" customFormat="1">
      <c r="A284" s="1255" t="s">
        <v>192</v>
      </c>
      <c r="B284" s="1255"/>
      <c r="C284" s="1255"/>
      <c r="D284" s="1255"/>
      <c r="E284" s="1255"/>
      <c r="F284" s="1255"/>
      <c r="G284" s="1255"/>
      <c r="H284" s="1255"/>
      <c r="I284" s="1255"/>
      <c r="J284" s="1255"/>
      <c r="K284" s="1255"/>
      <c r="L284" s="1255"/>
      <c r="M284" s="1255"/>
      <c r="N284" s="1255"/>
      <c r="O284" s="1255"/>
      <c r="P284" s="1255"/>
      <c r="Q284" s="1255"/>
      <c r="R284" s="1255"/>
      <c r="S284" s="1250"/>
      <c r="T284" s="1250"/>
    </row>
    <row r="285" spans="1:20">
      <c r="N285" s="1159" t="s">
        <v>11</v>
      </c>
    </row>
  </sheetData>
  <sheetProtection algorithmName="SHA-512" hashValue="b9+kN+SlBkN/eBRrxX62O8CsAHwJaphjNMS/UIrFvSY4ToL+IGzLu8RK+l0+glLLp3x6xoiy+japWqWmmx1EOg==" saltValue="ZRoqI82gu0YfMQXSB+/wFw==" spinCount="100000" sheet="1" objects="1" scenarios="1"/>
  <mergeCells count="27">
    <mergeCell ref="A3:R3"/>
    <mergeCell ref="A5:R5"/>
    <mergeCell ref="A6:R6"/>
    <mergeCell ref="A8:R8"/>
    <mergeCell ref="A9:F10"/>
    <mergeCell ref="I9:J9"/>
    <mergeCell ref="K9:P9"/>
    <mergeCell ref="Q9:R9"/>
    <mergeCell ref="I10:J10"/>
    <mergeCell ref="K10:L10"/>
    <mergeCell ref="M10:N10"/>
    <mergeCell ref="O10:P10"/>
    <mergeCell ref="Q10:R10"/>
    <mergeCell ref="I11:J11"/>
    <mergeCell ref="K11:L11"/>
    <mergeCell ref="M11:N11"/>
    <mergeCell ref="O11:P11"/>
    <mergeCell ref="Q11:R11"/>
    <mergeCell ref="A266:F266"/>
    <mergeCell ref="A283:R283"/>
    <mergeCell ref="A284:R284"/>
    <mergeCell ref="A89:F89"/>
    <mergeCell ref="A90:F90"/>
    <mergeCell ref="A124:F124"/>
    <mergeCell ref="A165:F165"/>
    <mergeCell ref="C253:F253"/>
    <mergeCell ref="A257:F257"/>
  </mergeCells>
  <pageMargins left="0.15" right="0.15" top="1" bottom="1.25" header="0.5" footer="0.5"/>
  <pageSetup paperSize="14" orientation="portrait" verticalDpi="300" r:id="rId1"/>
  <headerFooter alignWithMargins="0">
    <oddHeader>&amp;RPage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T181"/>
  <sheetViews>
    <sheetView topLeftCell="A64" zoomScale="160" zoomScaleNormal="160" workbookViewId="0">
      <selection activeCell="N22" sqref="N22"/>
    </sheetView>
  </sheetViews>
  <sheetFormatPr defaultColWidth="9.140625" defaultRowHeight="13.5"/>
  <cols>
    <col min="1" max="1" width="6.5703125" style="86" customWidth="1"/>
    <col min="2" max="2" width="25.85546875" style="86" customWidth="1"/>
    <col min="3" max="3" width="8.7109375" style="86" customWidth="1"/>
    <col min="4" max="4" width="2.42578125" style="87" customWidth="1"/>
    <col min="5" max="5" width="10.28515625" style="86" customWidth="1"/>
    <col min="6" max="6" width="2.140625" style="87" customWidth="1"/>
    <col min="7" max="7" width="10.140625" style="86" customWidth="1"/>
    <col min="8" max="8" width="2.140625" style="87" customWidth="1"/>
    <col min="9" max="9" width="9.85546875" style="86" customWidth="1"/>
    <col min="10" max="10" width="2.140625" style="87" customWidth="1"/>
    <col min="11" max="11" width="10" style="86" customWidth="1"/>
    <col min="12" max="12" width="2" style="87" customWidth="1"/>
    <col min="13" max="13" width="10" style="86" customWidth="1"/>
    <col min="14" max="14" width="2" style="87" hidden="1" customWidth="1"/>
    <col min="15" max="15" width="10.7109375" style="86" hidden="1" customWidth="1"/>
    <col min="16" max="16384" width="9.140625" style="86"/>
  </cols>
  <sheetData>
    <row r="1" spans="1:18">
      <c r="A1" s="86" t="s">
        <v>186</v>
      </c>
    </row>
    <row r="2" spans="1:18" ht="8.25" customHeight="1"/>
    <row r="3" spans="1:18" ht="11.25" customHeight="1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"/>
      <c r="O3" s="132"/>
      <c r="P3" s="88"/>
      <c r="Q3" s="88"/>
      <c r="R3" s="88"/>
    </row>
    <row r="4" spans="1:18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"/>
      <c r="O4" s="132"/>
      <c r="P4" s="88"/>
      <c r="Q4" s="88"/>
      <c r="R4" s="88"/>
    </row>
    <row r="6" spans="1:18">
      <c r="A6" s="89" t="s">
        <v>85</v>
      </c>
      <c r="B6" s="90" t="s">
        <v>421</v>
      </c>
      <c r="C6" s="90"/>
    </row>
    <row r="7" spans="1:18" ht="13.5" hidden="1" customHeight="1">
      <c r="A7" s="86" t="s">
        <v>2</v>
      </c>
      <c r="B7" s="91" t="s">
        <v>422</v>
      </c>
      <c r="C7" s="91"/>
      <c r="F7" s="804"/>
      <c r="G7" s="804"/>
      <c r="H7" s="804"/>
      <c r="I7" s="804"/>
      <c r="J7" s="804"/>
      <c r="K7" s="804"/>
      <c r="L7" s="804"/>
      <c r="M7" s="804"/>
      <c r="N7" s="804"/>
      <c r="O7" s="804"/>
    </row>
    <row r="8" spans="1:18" ht="13.5" hidden="1" customHeight="1">
      <c r="A8" s="86" t="s">
        <v>3</v>
      </c>
      <c r="B8" s="91" t="s">
        <v>423</v>
      </c>
      <c r="C8" s="91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1:18" ht="13.5" hidden="1" customHeight="1">
      <c r="A9" s="86" t="s">
        <v>4</v>
      </c>
      <c r="B9" s="91" t="s">
        <v>404</v>
      </c>
      <c r="C9" s="91"/>
    </row>
    <row r="10" spans="1:18" ht="3.75" customHeight="1">
      <c r="B10" s="92"/>
      <c r="C10" s="92"/>
    </row>
    <row r="11" spans="1:18">
      <c r="A11" s="93"/>
      <c r="B11" s="94"/>
      <c r="C11" s="2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292" t="s">
        <v>494</v>
      </c>
      <c r="O11" s="1293"/>
    </row>
    <row r="12" spans="1:18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294"/>
      <c r="O12" s="1295"/>
    </row>
    <row r="13" spans="1:18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296"/>
      <c r="O13" s="1297"/>
    </row>
    <row r="14" spans="1:18">
      <c r="A14" s="97" t="s">
        <v>281</v>
      </c>
      <c r="B14" s="98"/>
      <c r="C14" s="99"/>
      <c r="D14" s="100"/>
      <c r="E14" s="7"/>
      <c r="F14" s="100"/>
      <c r="G14" s="7"/>
      <c r="H14" s="100"/>
      <c r="I14" s="7"/>
      <c r="J14" s="100"/>
      <c r="K14" s="7"/>
      <c r="L14" s="100"/>
      <c r="M14" s="7"/>
      <c r="N14" s="100"/>
      <c r="O14" s="7"/>
    </row>
    <row r="15" spans="1:18">
      <c r="A15" s="101" t="s">
        <v>262</v>
      </c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  <c r="N15" s="100"/>
      <c r="O15" s="7"/>
    </row>
    <row r="16" spans="1:18">
      <c r="A16" s="101" t="s">
        <v>263</v>
      </c>
      <c r="B16" s="98"/>
      <c r="C16" s="102" t="s">
        <v>114</v>
      </c>
      <c r="D16" s="100" t="s">
        <v>15</v>
      </c>
      <c r="E16" s="7">
        <v>1720118.72</v>
      </c>
      <c r="F16" s="100" t="s">
        <v>15</v>
      </c>
      <c r="G16" s="7">
        <v>963349.41</v>
      </c>
      <c r="H16" s="100" t="s">
        <v>15</v>
      </c>
      <c r="I16" s="7">
        <f>K16-G16</f>
        <v>1055134.5899999999</v>
      </c>
      <c r="J16" s="100" t="s">
        <v>15</v>
      </c>
      <c r="K16" s="7">
        <v>2018484</v>
      </c>
      <c r="L16" s="100" t="s">
        <v>15</v>
      </c>
      <c r="M16" s="7">
        <v>1769928</v>
      </c>
      <c r="N16" s="104" t="s">
        <v>15</v>
      </c>
      <c r="O16" s="105">
        <v>0</v>
      </c>
    </row>
    <row r="17" spans="1:15">
      <c r="A17" s="101" t="s">
        <v>286</v>
      </c>
      <c r="B17" s="98"/>
      <c r="C17" s="102" t="s">
        <v>115</v>
      </c>
      <c r="D17" s="100"/>
      <c r="E17" s="7">
        <v>576814.69999999995</v>
      </c>
      <c r="F17" s="100"/>
      <c r="G17" s="7">
        <v>360442.5</v>
      </c>
      <c r="H17" s="100"/>
      <c r="I17" s="7">
        <f t="shared" ref="I17:I36" si="0">K17-G17</f>
        <v>512809.5</v>
      </c>
      <c r="J17" s="100"/>
      <c r="K17" s="7">
        <v>873252</v>
      </c>
      <c r="L17" s="100"/>
      <c r="M17" s="7">
        <v>1078404</v>
      </c>
      <c r="N17" s="748"/>
      <c r="O17" s="749">
        <v>0</v>
      </c>
    </row>
    <row r="18" spans="1:15">
      <c r="A18" s="101" t="s">
        <v>265</v>
      </c>
      <c r="B18" s="98"/>
      <c r="C18" s="102"/>
      <c r="D18" s="100"/>
      <c r="E18" s="7"/>
      <c r="F18" s="100"/>
      <c r="G18" s="7"/>
      <c r="H18" s="100"/>
      <c r="I18" s="7"/>
      <c r="J18" s="100"/>
      <c r="K18" s="7"/>
      <c r="L18" s="100"/>
      <c r="M18" s="7"/>
      <c r="N18" s="748"/>
      <c r="O18" s="749"/>
    </row>
    <row r="19" spans="1:15">
      <c r="A19" s="101" t="s">
        <v>266</v>
      </c>
      <c r="B19" s="98"/>
      <c r="C19" s="102" t="s">
        <v>116</v>
      </c>
      <c r="D19" s="100"/>
      <c r="E19" s="7">
        <v>148454.99</v>
      </c>
      <c r="F19" s="100"/>
      <c r="G19" s="7">
        <v>80452.259999999995</v>
      </c>
      <c r="H19" s="100"/>
      <c r="I19" s="7">
        <f t="shared" si="0"/>
        <v>135547.74</v>
      </c>
      <c r="J19" s="100"/>
      <c r="K19" s="7">
        <v>216000</v>
      </c>
      <c r="L19" s="100"/>
      <c r="M19" s="7">
        <v>240000</v>
      </c>
      <c r="N19" s="748"/>
      <c r="O19" s="749">
        <v>0</v>
      </c>
    </row>
    <row r="20" spans="1:15">
      <c r="A20" s="101" t="s">
        <v>267</v>
      </c>
      <c r="B20" s="98"/>
      <c r="C20" s="102" t="s">
        <v>117</v>
      </c>
      <c r="D20" s="100"/>
      <c r="E20" s="7">
        <v>81000</v>
      </c>
      <c r="F20" s="100"/>
      <c r="G20" s="7">
        <v>40500</v>
      </c>
      <c r="H20" s="100"/>
      <c r="I20" s="7">
        <f t="shared" si="0"/>
        <v>40500</v>
      </c>
      <c r="J20" s="100"/>
      <c r="K20" s="7">
        <v>81000</v>
      </c>
      <c r="L20" s="100"/>
      <c r="M20" s="7">
        <v>81000</v>
      </c>
      <c r="N20" s="748"/>
      <c r="O20" s="749">
        <v>0</v>
      </c>
    </row>
    <row r="21" spans="1:15">
      <c r="A21" s="101" t="s">
        <v>268</v>
      </c>
      <c r="B21" s="106"/>
      <c r="C21" s="102" t="s">
        <v>118</v>
      </c>
      <c r="D21" s="100"/>
      <c r="E21" s="7">
        <v>81000</v>
      </c>
      <c r="F21" s="100"/>
      <c r="G21" s="7">
        <v>40500</v>
      </c>
      <c r="H21" s="100"/>
      <c r="I21" s="7">
        <f t="shared" si="0"/>
        <v>40500</v>
      </c>
      <c r="J21" s="100"/>
      <c r="K21" s="7">
        <v>81000</v>
      </c>
      <c r="L21" s="100"/>
      <c r="M21" s="7">
        <v>81000</v>
      </c>
      <c r="N21" s="748"/>
      <c r="O21" s="749">
        <v>0</v>
      </c>
    </row>
    <row r="22" spans="1:15">
      <c r="A22" s="101" t="s">
        <v>269</v>
      </c>
      <c r="B22" s="106"/>
      <c r="C22" s="102" t="s">
        <v>119</v>
      </c>
      <c r="D22" s="100"/>
      <c r="E22" s="7">
        <v>36000</v>
      </c>
      <c r="F22" s="100"/>
      <c r="G22" s="7">
        <v>42000</v>
      </c>
      <c r="H22" s="100"/>
      <c r="I22" s="7">
        <f t="shared" si="0"/>
        <v>12000</v>
      </c>
      <c r="J22" s="100"/>
      <c r="K22" s="7">
        <v>54000</v>
      </c>
      <c r="L22" s="100"/>
      <c r="M22" s="7">
        <v>60000</v>
      </c>
      <c r="N22" s="748"/>
      <c r="O22" s="749">
        <v>0</v>
      </c>
    </row>
    <row r="23" spans="1:15">
      <c r="A23" s="101" t="s">
        <v>270</v>
      </c>
      <c r="B23" s="106"/>
      <c r="C23" s="102" t="s">
        <v>120</v>
      </c>
      <c r="D23" s="100"/>
      <c r="E23" s="7">
        <v>34750</v>
      </c>
      <c r="F23" s="100"/>
      <c r="G23" s="7">
        <v>0</v>
      </c>
      <c r="H23" s="100"/>
      <c r="I23" s="7">
        <f t="shared" si="0"/>
        <v>45000</v>
      </c>
      <c r="J23" s="100"/>
      <c r="K23" s="7">
        <v>45000</v>
      </c>
      <c r="L23" s="100"/>
      <c r="M23" s="7">
        <v>50000</v>
      </c>
      <c r="N23" s="748"/>
      <c r="O23" s="749">
        <v>0</v>
      </c>
    </row>
    <row r="24" spans="1:15">
      <c r="A24" s="101" t="s">
        <v>271</v>
      </c>
      <c r="B24" s="98"/>
      <c r="C24" s="102" t="s">
        <v>121</v>
      </c>
      <c r="D24" s="100"/>
      <c r="E24" s="7">
        <v>190340.01</v>
      </c>
      <c r="F24" s="100"/>
      <c r="G24" s="7">
        <v>0</v>
      </c>
      <c r="H24" s="100"/>
      <c r="I24" s="7">
        <f t="shared" si="0"/>
        <v>240978</v>
      </c>
      <c r="J24" s="100"/>
      <c r="K24" s="7">
        <v>240978</v>
      </c>
      <c r="L24" s="100"/>
      <c r="M24" s="7">
        <v>237361</v>
      </c>
      <c r="N24" s="748"/>
      <c r="O24" s="749">
        <v>0</v>
      </c>
    </row>
    <row r="25" spans="1:15">
      <c r="A25" s="101" t="s">
        <v>278</v>
      </c>
      <c r="B25" s="108"/>
      <c r="C25" s="102" t="s">
        <v>258</v>
      </c>
      <c r="D25" s="100"/>
      <c r="E25" s="7"/>
      <c r="F25" s="100"/>
      <c r="G25" s="7"/>
      <c r="H25" s="100"/>
      <c r="I25" s="7"/>
      <c r="J25" s="100"/>
      <c r="K25" s="7"/>
      <c r="L25" s="100"/>
      <c r="M25" s="7"/>
      <c r="N25" s="748"/>
      <c r="O25" s="749"/>
    </row>
    <row r="26" spans="1:15">
      <c r="A26" s="101" t="s">
        <v>279</v>
      </c>
      <c r="B26" s="108"/>
      <c r="C26" s="102"/>
      <c r="D26" s="100"/>
      <c r="E26" s="7">
        <v>191031.66</v>
      </c>
      <c r="F26" s="100"/>
      <c r="G26" s="7">
        <v>183213.56</v>
      </c>
      <c r="H26" s="100"/>
      <c r="I26" s="7">
        <f t="shared" si="0"/>
        <v>57764.44</v>
      </c>
      <c r="J26" s="100"/>
      <c r="K26" s="7">
        <v>240978</v>
      </c>
      <c r="L26" s="100"/>
      <c r="M26" s="7">
        <v>237361</v>
      </c>
      <c r="N26" s="748"/>
      <c r="O26" s="749">
        <v>0</v>
      </c>
    </row>
    <row r="27" spans="1:15">
      <c r="A27" s="101" t="s">
        <v>280</v>
      </c>
      <c r="B27" s="108"/>
      <c r="C27" s="102"/>
      <c r="D27" s="100"/>
      <c r="E27" s="7">
        <v>0</v>
      </c>
      <c r="F27" s="100"/>
      <c r="G27" s="7">
        <v>18000</v>
      </c>
      <c r="H27" s="100"/>
      <c r="I27" s="7">
        <f t="shared" si="0"/>
        <v>9000</v>
      </c>
      <c r="J27" s="100"/>
      <c r="K27" s="7">
        <v>27000</v>
      </c>
      <c r="L27" s="100"/>
      <c r="M27" s="7">
        <v>0</v>
      </c>
      <c r="N27" s="748"/>
      <c r="O27" s="749">
        <v>0</v>
      </c>
    </row>
    <row r="28" spans="1:15">
      <c r="A28" s="101" t="s">
        <v>272</v>
      </c>
      <c r="B28" s="98"/>
      <c r="C28" s="102" t="s">
        <v>122</v>
      </c>
      <c r="D28" s="100"/>
      <c r="E28" s="7">
        <v>249564.96</v>
      </c>
      <c r="F28" s="100"/>
      <c r="G28" s="7">
        <v>126645.95</v>
      </c>
      <c r="H28" s="100"/>
      <c r="I28" s="7">
        <f t="shared" si="0"/>
        <v>220363.05</v>
      </c>
      <c r="J28" s="100"/>
      <c r="K28" s="7">
        <v>347009</v>
      </c>
      <c r="L28" s="100"/>
      <c r="M28" s="7">
        <v>341800</v>
      </c>
      <c r="N28" s="748"/>
      <c r="O28" s="749">
        <v>0</v>
      </c>
    </row>
    <row r="29" spans="1:15">
      <c r="A29" s="101" t="s">
        <v>273</v>
      </c>
      <c r="B29" s="98"/>
      <c r="C29" s="102" t="s">
        <v>123</v>
      </c>
      <c r="D29" s="100"/>
      <c r="E29" s="7">
        <v>42380.480000000003</v>
      </c>
      <c r="F29" s="100"/>
      <c r="G29" s="7">
        <v>6606.84</v>
      </c>
      <c r="H29" s="100"/>
      <c r="I29" s="7">
        <f t="shared" si="0"/>
        <v>51257.16</v>
      </c>
      <c r="J29" s="100"/>
      <c r="K29" s="7">
        <v>57864</v>
      </c>
      <c r="L29" s="100"/>
      <c r="M29" s="7">
        <v>12000</v>
      </c>
      <c r="N29" s="748"/>
      <c r="O29" s="749">
        <v>0</v>
      </c>
    </row>
    <row r="30" spans="1:15">
      <c r="A30" s="101" t="s">
        <v>274</v>
      </c>
      <c r="B30" s="98"/>
      <c r="C30" s="102" t="s">
        <v>124</v>
      </c>
      <c r="D30" s="100"/>
      <c r="E30" s="7">
        <v>28475.9</v>
      </c>
      <c r="F30" s="100"/>
      <c r="G30" s="7">
        <v>14991.18</v>
      </c>
      <c r="H30" s="100"/>
      <c r="I30" s="7">
        <f t="shared" si="0"/>
        <v>42656.82</v>
      </c>
      <c r="J30" s="100"/>
      <c r="K30" s="7">
        <v>57648</v>
      </c>
      <c r="L30" s="100"/>
      <c r="M30" s="7">
        <v>64140</v>
      </c>
      <c r="N30" s="748"/>
      <c r="O30" s="749">
        <v>0</v>
      </c>
    </row>
    <row r="31" spans="1:15">
      <c r="A31" s="101" t="s">
        <v>275</v>
      </c>
      <c r="B31" s="98"/>
      <c r="C31" s="102" t="s">
        <v>125</v>
      </c>
      <c r="D31" s="100"/>
      <c r="E31" s="7">
        <v>7500</v>
      </c>
      <c r="F31" s="100"/>
      <c r="G31" s="7">
        <v>4200</v>
      </c>
      <c r="H31" s="100"/>
      <c r="I31" s="7">
        <f t="shared" si="0"/>
        <v>6600</v>
      </c>
      <c r="J31" s="100"/>
      <c r="K31" s="7">
        <v>10800</v>
      </c>
      <c r="L31" s="100"/>
      <c r="M31" s="7">
        <v>12000</v>
      </c>
      <c r="N31" s="748"/>
      <c r="O31" s="749">
        <v>0</v>
      </c>
    </row>
    <row r="32" spans="1:15">
      <c r="A32" s="101" t="s">
        <v>276</v>
      </c>
      <c r="B32" s="108"/>
      <c r="C32" s="102" t="s">
        <v>161</v>
      </c>
      <c r="D32" s="100"/>
      <c r="E32" s="7"/>
      <c r="F32" s="100"/>
      <c r="G32" s="7"/>
      <c r="H32" s="100"/>
      <c r="I32" s="7"/>
      <c r="J32" s="100"/>
      <c r="K32" s="7"/>
      <c r="L32" s="100"/>
      <c r="M32" s="7"/>
      <c r="N32" s="748"/>
      <c r="O32" s="749"/>
    </row>
    <row r="33" spans="1:16">
      <c r="A33" s="101" t="s">
        <v>292</v>
      </c>
      <c r="B33" s="108"/>
      <c r="C33" s="102"/>
      <c r="D33" s="100"/>
      <c r="E33" s="7">
        <v>0</v>
      </c>
      <c r="F33" s="100"/>
      <c r="G33" s="7">
        <v>0</v>
      </c>
      <c r="H33" s="100"/>
      <c r="I33" s="7">
        <f>K33-G33</f>
        <v>0</v>
      </c>
      <c r="J33" s="100"/>
      <c r="K33" s="7">
        <v>0</v>
      </c>
      <c r="L33" s="100"/>
      <c r="M33" s="7">
        <v>126144</v>
      </c>
      <c r="N33" s="748"/>
      <c r="O33" s="749">
        <v>0</v>
      </c>
    </row>
    <row r="34" spans="1:16">
      <c r="A34" s="101" t="s">
        <v>259</v>
      </c>
      <c r="B34" s="108"/>
      <c r="C34" s="102"/>
      <c r="D34" s="100"/>
      <c r="E34" s="7">
        <v>0</v>
      </c>
      <c r="F34" s="100"/>
      <c r="G34" s="7">
        <v>0</v>
      </c>
      <c r="H34" s="100"/>
      <c r="I34" s="7">
        <f t="shared" ref="I34" si="1">K34-G34</f>
        <v>0</v>
      </c>
      <c r="J34" s="100"/>
      <c r="K34" s="7">
        <v>0</v>
      </c>
      <c r="L34" s="100"/>
      <c r="M34" s="7">
        <v>10000</v>
      </c>
      <c r="N34" s="748"/>
      <c r="O34" s="749">
        <v>0</v>
      </c>
    </row>
    <row r="35" spans="1:16">
      <c r="A35" s="101" t="s">
        <v>764</v>
      </c>
      <c r="B35" s="108"/>
      <c r="C35" s="102"/>
      <c r="D35" s="100"/>
      <c r="E35" s="7">
        <v>0</v>
      </c>
      <c r="F35" s="100"/>
      <c r="G35" s="7">
        <v>0</v>
      </c>
      <c r="H35" s="100"/>
      <c r="I35" s="7">
        <f t="shared" si="0"/>
        <v>127748</v>
      </c>
      <c r="J35" s="100"/>
      <c r="K35" s="7">
        <v>127748</v>
      </c>
      <c r="L35" s="100"/>
      <c r="M35" s="7">
        <v>0</v>
      </c>
      <c r="N35" s="748"/>
      <c r="O35" s="749">
        <v>0</v>
      </c>
    </row>
    <row r="36" spans="1:16">
      <c r="A36" s="101" t="s">
        <v>260</v>
      </c>
      <c r="B36" s="108"/>
      <c r="C36" s="102"/>
      <c r="D36" s="100"/>
      <c r="E36" s="7">
        <v>30000</v>
      </c>
      <c r="F36" s="104"/>
      <c r="G36" s="7">
        <v>0</v>
      </c>
      <c r="H36" s="104"/>
      <c r="I36" s="105">
        <f t="shared" si="0"/>
        <v>45000</v>
      </c>
      <c r="J36" s="104"/>
      <c r="K36" s="105">
        <v>45000</v>
      </c>
      <c r="L36" s="104"/>
      <c r="M36" s="105">
        <v>50000</v>
      </c>
      <c r="N36" s="748"/>
      <c r="O36" s="749">
        <v>0</v>
      </c>
    </row>
    <row r="37" spans="1:16">
      <c r="A37" s="1325" t="s">
        <v>14</v>
      </c>
      <c r="B37" s="1326"/>
      <c r="C37" s="102"/>
      <c r="D37" s="144" t="s">
        <v>15</v>
      </c>
      <c r="E37" s="174">
        <f>SUM(E16:E36)</f>
        <v>3417431.42</v>
      </c>
      <c r="F37" s="144" t="s">
        <v>15</v>
      </c>
      <c r="G37" s="174">
        <f>SUM(G16:G36)</f>
        <v>1880901.7000000002</v>
      </c>
      <c r="H37" s="144" t="s">
        <v>15</v>
      </c>
      <c r="I37" s="174">
        <f>SUM(I16:I36)</f>
        <v>2642859.2999999998</v>
      </c>
      <c r="J37" s="144" t="s">
        <v>15</v>
      </c>
      <c r="K37" s="174">
        <f>SUM(K16:K36)</f>
        <v>4523761</v>
      </c>
      <c r="L37" s="144" t="s">
        <v>15</v>
      </c>
      <c r="M37" s="174">
        <f>SUM(M16:M36)</f>
        <v>4451138</v>
      </c>
      <c r="N37" s="144" t="s">
        <v>15</v>
      </c>
      <c r="O37" s="174">
        <f>SUM(O16:O36)</f>
        <v>0</v>
      </c>
      <c r="P37" s="86" t="s">
        <v>56</v>
      </c>
    </row>
    <row r="38" spans="1:16">
      <c r="A38" s="97" t="s">
        <v>282</v>
      </c>
      <c r="B38" s="98"/>
      <c r="C38" s="102"/>
      <c r="D38" s="144"/>
      <c r="E38" s="174"/>
      <c r="F38" s="144"/>
      <c r="G38" s="174"/>
      <c r="H38" s="144"/>
      <c r="I38" s="174"/>
      <c r="J38" s="144"/>
      <c r="K38" s="174"/>
      <c r="L38" s="144"/>
      <c r="M38" s="174"/>
      <c r="N38" s="144"/>
      <c r="O38" s="174"/>
    </row>
    <row r="39" spans="1:16">
      <c r="A39" s="101" t="s">
        <v>41</v>
      </c>
      <c r="B39" s="98"/>
      <c r="C39" s="102" t="s">
        <v>126</v>
      </c>
      <c r="D39" s="100" t="s">
        <v>15</v>
      </c>
      <c r="E39" s="7">
        <v>69750</v>
      </c>
      <c r="F39" s="100" t="s">
        <v>15</v>
      </c>
      <c r="G39" s="7">
        <v>56387</v>
      </c>
      <c r="H39" s="100" t="s">
        <v>15</v>
      </c>
      <c r="I39" s="7">
        <f t="shared" ref="I39:I54" si="2">K39-G39</f>
        <v>306613</v>
      </c>
      <c r="J39" s="100" t="s">
        <v>15</v>
      </c>
      <c r="K39" s="7">
        <f>30000+333000</f>
        <v>363000</v>
      </c>
      <c r="L39" s="100" t="s">
        <v>15</v>
      </c>
      <c r="M39" s="7">
        <v>363000</v>
      </c>
      <c r="N39" s="104" t="s">
        <v>15</v>
      </c>
      <c r="O39" s="105">
        <f>M39-K39</f>
        <v>0</v>
      </c>
    </row>
    <row r="40" spans="1:16">
      <c r="A40" s="101" t="s">
        <v>42</v>
      </c>
      <c r="B40" s="98"/>
      <c r="C40" s="102" t="s">
        <v>127</v>
      </c>
      <c r="D40" s="100"/>
      <c r="E40" s="7">
        <v>52800</v>
      </c>
      <c r="F40" s="111"/>
      <c r="G40" s="7">
        <v>32700</v>
      </c>
      <c r="H40" s="111"/>
      <c r="I40" s="7">
        <f t="shared" si="2"/>
        <v>155300</v>
      </c>
      <c r="J40" s="111"/>
      <c r="K40" s="7">
        <f>50000+138000</f>
        <v>188000</v>
      </c>
      <c r="L40" s="100"/>
      <c r="M40" s="7">
        <v>188000</v>
      </c>
      <c r="N40" s="748"/>
      <c r="O40" s="105">
        <f t="shared" ref="O40:O53" si="3">M40-K40</f>
        <v>0</v>
      </c>
    </row>
    <row r="41" spans="1:16">
      <c r="A41" s="101" t="s">
        <v>28</v>
      </c>
      <c r="B41" s="98"/>
      <c r="C41" s="102" t="s">
        <v>128</v>
      </c>
      <c r="D41" s="111"/>
      <c r="E41" s="7">
        <v>122009.05</v>
      </c>
      <c r="F41" s="111"/>
      <c r="G41" s="7">
        <v>21614</v>
      </c>
      <c r="H41" s="111"/>
      <c r="I41" s="7">
        <f t="shared" si="2"/>
        <v>246386</v>
      </c>
      <c r="J41" s="111"/>
      <c r="K41" s="7">
        <f>218000+50000</f>
        <v>268000</v>
      </c>
      <c r="L41" s="100"/>
      <c r="M41" s="7">
        <v>230000</v>
      </c>
      <c r="N41" s="748"/>
      <c r="O41" s="105">
        <f t="shared" si="3"/>
        <v>-38000</v>
      </c>
    </row>
    <row r="42" spans="1:16">
      <c r="A42" s="101" t="s">
        <v>47</v>
      </c>
      <c r="B42" s="98"/>
      <c r="C42" s="102" t="s">
        <v>165</v>
      </c>
      <c r="D42" s="111"/>
      <c r="E42" s="7">
        <v>43043</v>
      </c>
      <c r="F42" s="111"/>
      <c r="G42" s="7">
        <v>0</v>
      </c>
      <c r="H42" s="111"/>
      <c r="I42" s="7">
        <f>K42-G42</f>
        <v>72000</v>
      </c>
      <c r="J42" s="111"/>
      <c r="K42" s="7">
        <v>72000</v>
      </c>
      <c r="L42" s="100"/>
      <c r="M42" s="7">
        <v>40000</v>
      </c>
      <c r="N42" s="748"/>
      <c r="O42" s="105">
        <f t="shared" si="3"/>
        <v>-32000</v>
      </c>
    </row>
    <row r="43" spans="1:16">
      <c r="A43" s="101" t="s">
        <v>130</v>
      </c>
      <c r="B43" s="98"/>
      <c r="C43" s="102" t="s">
        <v>129</v>
      </c>
      <c r="D43" s="100"/>
      <c r="E43" s="7">
        <v>54765.1</v>
      </c>
      <c r="F43" s="100"/>
      <c r="G43" s="7">
        <v>6849</v>
      </c>
      <c r="H43" s="100"/>
      <c r="I43" s="7">
        <f>K43-G43</f>
        <v>143151</v>
      </c>
      <c r="J43" s="100"/>
      <c r="K43" s="7">
        <v>150000</v>
      </c>
      <c r="L43" s="100"/>
      <c r="M43" s="7">
        <v>176000</v>
      </c>
      <c r="N43" s="748"/>
      <c r="O43" s="105">
        <f t="shared" si="3"/>
        <v>26000</v>
      </c>
    </row>
    <row r="44" spans="1:16" ht="12" customHeight="1">
      <c r="A44" s="101" t="s">
        <v>497</v>
      </c>
      <c r="B44" s="98"/>
      <c r="C44" s="102" t="s">
        <v>174</v>
      </c>
      <c r="D44" s="111"/>
      <c r="E44" s="7">
        <v>15000</v>
      </c>
      <c r="F44" s="111"/>
      <c r="G44" s="7">
        <v>14168.6</v>
      </c>
      <c r="H44" s="111"/>
      <c r="I44" s="7">
        <f>K44-G44</f>
        <v>36831.4</v>
      </c>
      <c r="J44" s="111"/>
      <c r="K44" s="7">
        <f>25000+20000+6000</f>
        <v>51000</v>
      </c>
      <c r="L44" s="100"/>
      <c r="M44" s="7">
        <v>51000</v>
      </c>
      <c r="N44" s="748"/>
      <c r="O44" s="105">
        <f t="shared" si="3"/>
        <v>0</v>
      </c>
      <c r="P44" s="182"/>
    </row>
    <row r="45" spans="1:16">
      <c r="A45" s="101" t="s">
        <v>132</v>
      </c>
      <c r="B45" s="98"/>
      <c r="C45" s="102" t="s">
        <v>131</v>
      </c>
      <c r="D45" s="100"/>
      <c r="E45" s="7">
        <v>11051</v>
      </c>
      <c r="F45" s="100"/>
      <c r="G45" s="7">
        <v>0</v>
      </c>
      <c r="H45" s="100"/>
      <c r="I45" s="7">
        <f t="shared" si="2"/>
        <v>30000</v>
      </c>
      <c r="J45" s="100"/>
      <c r="K45" s="7">
        <f>22000+8000</f>
        <v>30000</v>
      </c>
      <c r="L45" s="100"/>
      <c r="M45" s="7">
        <v>13000</v>
      </c>
      <c r="N45" s="748"/>
      <c r="O45" s="105">
        <f t="shared" si="3"/>
        <v>-17000</v>
      </c>
    </row>
    <row r="46" spans="1:16">
      <c r="A46" s="101" t="s">
        <v>163</v>
      </c>
      <c r="B46" s="98"/>
      <c r="C46" s="102" t="s">
        <v>133</v>
      </c>
      <c r="D46" s="100"/>
      <c r="E46" s="7">
        <v>29885.99</v>
      </c>
      <c r="F46" s="100"/>
      <c r="G46" s="7">
        <v>12478</v>
      </c>
      <c r="H46" s="100"/>
      <c r="I46" s="7">
        <f t="shared" si="2"/>
        <v>27522</v>
      </c>
      <c r="J46" s="100"/>
      <c r="K46" s="7">
        <v>40000</v>
      </c>
      <c r="L46" s="100"/>
      <c r="M46" s="7">
        <v>40000</v>
      </c>
      <c r="N46" s="748"/>
      <c r="O46" s="105">
        <f t="shared" si="3"/>
        <v>0</v>
      </c>
    </row>
    <row r="47" spans="1:16">
      <c r="A47" s="101" t="s">
        <v>1143</v>
      </c>
      <c r="B47" s="98"/>
      <c r="C47" s="102" t="s">
        <v>134</v>
      </c>
      <c r="D47" s="100"/>
      <c r="E47" s="7">
        <v>28522.55</v>
      </c>
      <c r="F47" s="100"/>
      <c r="G47" s="7">
        <v>14196.4</v>
      </c>
      <c r="H47" s="100"/>
      <c r="I47" s="7">
        <f t="shared" si="2"/>
        <v>21803.599999999999</v>
      </c>
      <c r="J47" s="100"/>
      <c r="K47" s="7">
        <v>36000</v>
      </c>
      <c r="L47" s="100"/>
      <c r="M47" s="7">
        <v>36000</v>
      </c>
      <c r="N47" s="748"/>
      <c r="O47" s="105">
        <f t="shared" si="3"/>
        <v>0</v>
      </c>
    </row>
    <row r="48" spans="1:16" ht="12" customHeight="1">
      <c r="A48" s="101" t="s">
        <v>138</v>
      </c>
      <c r="B48" s="98"/>
      <c r="C48" s="102" t="s">
        <v>137</v>
      </c>
      <c r="D48" s="100"/>
      <c r="E48" s="7">
        <v>5854</v>
      </c>
      <c r="F48" s="111"/>
      <c r="G48" s="7">
        <v>2061</v>
      </c>
      <c r="H48" s="111"/>
      <c r="I48" s="7">
        <f t="shared" si="2"/>
        <v>7939</v>
      </c>
      <c r="J48" s="111"/>
      <c r="K48" s="7">
        <v>10000</v>
      </c>
      <c r="L48" s="100"/>
      <c r="M48" s="7">
        <v>10000</v>
      </c>
      <c r="N48" s="748"/>
      <c r="O48" s="105">
        <f t="shared" si="3"/>
        <v>0</v>
      </c>
    </row>
    <row r="49" spans="1:15">
      <c r="A49" s="101" t="s">
        <v>142</v>
      </c>
      <c r="B49" s="98"/>
      <c r="C49" s="102" t="s">
        <v>141</v>
      </c>
      <c r="D49" s="100"/>
      <c r="E49" s="7">
        <v>1250</v>
      </c>
      <c r="F49" s="100"/>
      <c r="G49" s="7">
        <v>0</v>
      </c>
      <c r="H49" s="100"/>
      <c r="I49" s="7">
        <f t="shared" ref="I49" si="4">K49-G49</f>
        <v>38000</v>
      </c>
      <c r="J49" s="100"/>
      <c r="K49" s="7">
        <v>38000</v>
      </c>
      <c r="L49" s="100"/>
      <c r="M49" s="7">
        <v>18000</v>
      </c>
      <c r="N49" s="748"/>
      <c r="O49" s="105">
        <f t="shared" si="3"/>
        <v>-20000</v>
      </c>
    </row>
    <row r="50" spans="1:15">
      <c r="A50" s="101" t="s">
        <v>145</v>
      </c>
      <c r="B50" s="98"/>
      <c r="C50" s="102" t="s">
        <v>144</v>
      </c>
      <c r="D50" s="100"/>
      <c r="E50" s="7">
        <v>0</v>
      </c>
      <c r="F50" s="100"/>
      <c r="G50" s="7">
        <v>0</v>
      </c>
      <c r="H50" s="100"/>
      <c r="I50" s="7">
        <f t="shared" si="2"/>
        <v>50600</v>
      </c>
      <c r="J50" s="100"/>
      <c r="K50" s="7">
        <v>50600</v>
      </c>
      <c r="L50" s="100"/>
      <c r="M50" s="7">
        <v>50000</v>
      </c>
      <c r="N50" s="748"/>
      <c r="O50" s="105">
        <f t="shared" si="3"/>
        <v>-600</v>
      </c>
    </row>
    <row r="51" spans="1:15">
      <c r="A51" s="101" t="s">
        <v>33</v>
      </c>
      <c r="B51" s="119"/>
      <c r="C51" s="102" t="s">
        <v>148</v>
      </c>
      <c r="D51" s="100"/>
      <c r="E51" s="157"/>
      <c r="F51" s="100"/>
      <c r="G51" s="157"/>
      <c r="H51" s="100"/>
      <c r="I51" s="7"/>
      <c r="J51" s="100"/>
      <c r="K51" s="7"/>
      <c r="L51" s="100"/>
      <c r="M51" s="7"/>
      <c r="N51" s="748"/>
      <c r="O51" s="749"/>
    </row>
    <row r="52" spans="1:15">
      <c r="A52" s="101"/>
      <c r="B52" s="7" t="s">
        <v>342</v>
      </c>
      <c r="C52" s="102"/>
      <c r="D52" s="100"/>
      <c r="E52" s="7">
        <v>743763.74</v>
      </c>
      <c r="F52" s="100"/>
      <c r="G52" s="7">
        <v>274891.52000000002</v>
      </c>
      <c r="H52" s="100"/>
      <c r="I52" s="7">
        <f t="shared" si="2"/>
        <v>693108.48</v>
      </c>
      <c r="J52" s="100"/>
      <c r="K52" s="7">
        <v>968000</v>
      </c>
      <c r="L52" s="100"/>
      <c r="M52" s="7">
        <v>1028000</v>
      </c>
      <c r="N52" s="748"/>
      <c r="O52" s="105">
        <f t="shared" si="3"/>
        <v>60000</v>
      </c>
    </row>
    <row r="53" spans="1:15">
      <c r="A53" s="101"/>
      <c r="B53" s="7" t="s">
        <v>1325</v>
      </c>
      <c r="C53" s="102"/>
      <c r="D53" s="100"/>
      <c r="E53" s="7">
        <v>8500</v>
      </c>
      <c r="F53" s="100"/>
      <c r="G53" s="7">
        <v>0</v>
      </c>
      <c r="H53" s="100"/>
      <c r="I53" s="7">
        <f t="shared" si="2"/>
        <v>0</v>
      </c>
      <c r="J53" s="100"/>
      <c r="K53" s="7">
        <v>0</v>
      </c>
      <c r="L53" s="100"/>
      <c r="M53" s="7">
        <v>0</v>
      </c>
      <c r="N53" s="748"/>
      <c r="O53" s="749">
        <f t="shared" si="3"/>
        <v>0</v>
      </c>
    </row>
    <row r="54" spans="1:15" ht="12" customHeight="1">
      <c r="A54" s="101"/>
      <c r="B54" s="7" t="s">
        <v>743</v>
      </c>
      <c r="C54" s="102"/>
      <c r="D54" s="100"/>
      <c r="E54" s="7">
        <v>16471.650000000001</v>
      </c>
      <c r="F54" s="111"/>
      <c r="G54" s="7">
        <v>9730</v>
      </c>
      <c r="H54" s="111"/>
      <c r="I54" s="7">
        <f t="shared" si="2"/>
        <v>75270</v>
      </c>
      <c r="J54" s="111"/>
      <c r="K54" s="105">
        <v>85000</v>
      </c>
      <c r="L54" s="104"/>
      <c r="M54" s="105">
        <v>45000</v>
      </c>
      <c r="N54" s="748"/>
      <c r="O54" s="105">
        <f t="shared" ref="O54" si="5">M54-K54</f>
        <v>-40000</v>
      </c>
    </row>
    <row r="55" spans="1:15">
      <c r="A55" s="1325" t="s">
        <v>13</v>
      </c>
      <c r="B55" s="1326"/>
      <c r="C55" s="102"/>
      <c r="D55" s="109" t="s">
        <v>15</v>
      </c>
      <c r="E55" s="110">
        <f>SUM(E39:E54)</f>
        <v>1202666.0799999998</v>
      </c>
      <c r="F55" s="109" t="s">
        <v>15</v>
      </c>
      <c r="G55" s="110">
        <f>SUM(G39:G54)</f>
        <v>445075.52</v>
      </c>
      <c r="H55" s="109" t="s">
        <v>15</v>
      </c>
      <c r="I55" s="110">
        <f>SUM(I39:I54)</f>
        <v>1904524.48</v>
      </c>
      <c r="J55" s="109" t="s">
        <v>15</v>
      </c>
      <c r="K55" s="110">
        <f>SUM(K39:K54)</f>
        <v>2349600</v>
      </c>
      <c r="L55" s="109" t="s">
        <v>15</v>
      </c>
      <c r="M55" s="110">
        <f>SUM(M39:M54)</f>
        <v>2288000</v>
      </c>
      <c r="N55" s="109" t="s">
        <v>15</v>
      </c>
      <c r="O55" s="110">
        <f>SUM(O39:O54)</f>
        <v>-61600</v>
      </c>
    </row>
    <row r="56" spans="1:15" ht="9.75" customHeight="1">
      <c r="A56" s="101"/>
      <c r="B56" s="98"/>
      <c r="C56" s="102"/>
      <c r="D56" s="120"/>
      <c r="E56" s="117"/>
      <c r="F56" s="100"/>
      <c r="G56" s="7"/>
      <c r="H56" s="100"/>
      <c r="I56" s="7"/>
      <c r="J56" s="100"/>
      <c r="K56" s="7"/>
      <c r="L56" s="100"/>
      <c r="M56" s="7"/>
      <c r="N56" s="100"/>
      <c r="O56" s="7"/>
    </row>
    <row r="57" spans="1:15">
      <c r="A57" s="121" t="s">
        <v>283</v>
      </c>
      <c r="B57" s="119"/>
      <c r="C57" s="102"/>
      <c r="D57" s="122"/>
      <c r="E57" s="123"/>
      <c r="F57" s="122"/>
      <c r="G57" s="123"/>
      <c r="H57" s="122"/>
      <c r="I57" s="123"/>
      <c r="J57" s="122"/>
      <c r="K57" s="123"/>
      <c r="L57" s="122"/>
      <c r="M57" s="123"/>
      <c r="N57" s="122"/>
      <c r="O57" s="123"/>
    </row>
    <row r="58" spans="1:15">
      <c r="A58" s="124" t="s">
        <v>51</v>
      </c>
      <c r="B58" s="760"/>
      <c r="C58" s="102" t="s">
        <v>149</v>
      </c>
      <c r="D58" s="100" t="s">
        <v>15</v>
      </c>
      <c r="E58" s="7">
        <v>0</v>
      </c>
      <c r="F58" s="100" t="s">
        <v>15</v>
      </c>
      <c r="G58" s="7">
        <v>0</v>
      </c>
      <c r="H58" s="100" t="s">
        <v>15</v>
      </c>
      <c r="I58" s="7">
        <f t="shared" ref="I58:I62" si="6">K58-G58</f>
        <v>0</v>
      </c>
      <c r="J58" s="100" t="s">
        <v>15</v>
      </c>
      <c r="K58" s="7"/>
      <c r="L58" s="100" t="s">
        <v>15</v>
      </c>
      <c r="M58" s="7">
        <v>0</v>
      </c>
      <c r="N58" s="104" t="s">
        <v>15</v>
      </c>
      <c r="O58" s="105"/>
    </row>
    <row r="59" spans="1:15">
      <c r="A59" s="124" t="s">
        <v>1022</v>
      </c>
      <c r="B59" s="775"/>
      <c r="C59" s="102"/>
      <c r="D59" s="100"/>
      <c r="E59" s="7"/>
      <c r="F59" s="100"/>
      <c r="G59" s="7"/>
      <c r="H59" s="100"/>
      <c r="I59" s="7">
        <f t="shared" si="6"/>
        <v>120000</v>
      </c>
      <c r="J59" s="100"/>
      <c r="K59" s="7">
        <v>120000</v>
      </c>
      <c r="L59" s="100"/>
      <c r="M59" s="7">
        <v>0</v>
      </c>
      <c r="N59" s="748"/>
      <c r="O59" s="749">
        <v>0</v>
      </c>
    </row>
    <row r="60" spans="1:15">
      <c r="A60" s="124" t="s">
        <v>152</v>
      </c>
      <c r="B60" s="119"/>
      <c r="C60" s="102" t="s">
        <v>150</v>
      </c>
      <c r="D60" s="100"/>
      <c r="E60" s="7">
        <v>0</v>
      </c>
      <c r="F60" s="100"/>
      <c r="G60" s="7">
        <v>0</v>
      </c>
      <c r="H60" s="100"/>
      <c r="I60" s="7">
        <f t="shared" si="6"/>
        <v>0</v>
      </c>
      <c r="J60" s="100"/>
      <c r="K60" s="7"/>
      <c r="L60" s="100"/>
      <c r="M60" s="7"/>
      <c r="N60" s="104"/>
      <c r="O60" s="105"/>
    </row>
    <row r="61" spans="1:15">
      <c r="A61" s="124" t="s">
        <v>1021</v>
      </c>
      <c r="B61" s="340"/>
      <c r="C61" s="102"/>
      <c r="D61" s="100"/>
      <c r="E61" s="7"/>
      <c r="F61" s="100"/>
      <c r="G61" s="7"/>
      <c r="H61" s="100"/>
      <c r="I61" s="7">
        <f t="shared" si="6"/>
        <v>150000</v>
      </c>
      <c r="J61" s="100"/>
      <c r="K61" s="7">
        <v>150000</v>
      </c>
      <c r="L61" s="100"/>
      <c r="M61" s="7">
        <v>0</v>
      </c>
      <c r="N61" s="748"/>
      <c r="O61" s="749">
        <v>0</v>
      </c>
    </row>
    <row r="62" spans="1:15">
      <c r="A62" s="124" t="s">
        <v>409</v>
      </c>
      <c r="B62" s="854"/>
      <c r="C62" s="102" t="s">
        <v>151</v>
      </c>
      <c r="D62" s="122"/>
      <c r="E62" s="7">
        <v>0</v>
      </c>
      <c r="F62" s="122"/>
      <c r="G62" s="7">
        <v>0</v>
      </c>
      <c r="H62" s="122"/>
      <c r="I62" s="7">
        <f t="shared" si="6"/>
        <v>0</v>
      </c>
      <c r="J62" s="122"/>
      <c r="K62" s="7"/>
      <c r="L62" s="122"/>
      <c r="M62" s="7"/>
      <c r="N62" s="109"/>
      <c r="O62" s="749"/>
    </row>
    <row r="63" spans="1:15">
      <c r="A63" s="162" t="s">
        <v>1000</v>
      </c>
      <c r="B63" s="853"/>
      <c r="C63" s="113"/>
      <c r="D63" s="125"/>
      <c r="E63" s="105">
        <v>0</v>
      </c>
      <c r="F63" s="125"/>
      <c r="G63" s="105">
        <v>0</v>
      </c>
      <c r="H63" s="125"/>
      <c r="I63" s="105">
        <f>K63-G63</f>
        <v>120000</v>
      </c>
      <c r="J63" s="125"/>
      <c r="K63" s="105">
        <v>120000</v>
      </c>
      <c r="L63" s="125"/>
      <c r="M63" s="105">
        <v>0</v>
      </c>
      <c r="N63" s="109"/>
      <c r="O63" s="749">
        <v>0</v>
      </c>
    </row>
    <row r="64" spans="1:15" s="133" customFormat="1">
      <c r="A64" s="124" t="s">
        <v>50</v>
      </c>
      <c r="B64" s="772"/>
      <c r="C64" s="102" t="s">
        <v>156</v>
      </c>
      <c r="D64" s="122"/>
      <c r="E64" s="197"/>
      <c r="F64" s="122"/>
      <c r="G64" s="197"/>
      <c r="H64" s="122"/>
      <c r="I64" s="7">
        <f t="shared" ref="I64:I65" si="7">K64-G64</f>
        <v>0</v>
      </c>
      <c r="J64" s="122"/>
      <c r="K64" s="197"/>
      <c r="L64" s="100"/>
      <c r="M64" s="197"/>
      <c r="N64" s="748"/>
      <c r="O64" s="751"/>
    </row>
    <row r="65" spans="1:20" s="133" customFormat="1">
      <c r="A65" s="124" t="s">
        <v>1001</v>
      </c>
      <c r="B65" s="772"/>
      <c r="C65" s="102"/>
      <c r="D65" s="125"/>
      <c r="E65" s="199">
        <v>0</v>
      </c>
      <c r="F65" s="125"/>
      <c r="G65" s="199">
        <v>0</v>
      </c>
      <c r="H65" s="125"/>
      <c r="I65" s="7">
        <f t="shared" si="7"/>
        <v>0</v>
      </c>
      <c r="J65" s="125"/>
      <c r="K65" s="199">
        <v>0</v>
      </c>
      <c r="L65" s="104"/>
      <c r="M65" s="199">
        <v>0</v>
      </c>
      <c r="N65" s="748"/>
      <c r="O65" s="751">
        <v>0</v>
      </c>
    </row>
    <row r="66" spans="1:20">
      <c r="A66" s="1325" t="s">
        <v>16</v>
      </c>
      <c r="B66" s="1326"/>
      <c r="C66" s="102"/>
      <c r="D66" s="109" t="s">
        <v>15</v>
      </c>
      <c r="E66" s="110">
        <f>SUM(E60:E65)</f>
        <v>0</v>
      </c>
      <c r="F66" s="109" t="s">
        <v>15</v>
      </c>
      <c r="G66" s="110">
        <f>SUM(G60:G65)</f>
        <v>0</v>
      </c>
      <c r="H66" s="109" t="s">
        <v>15</v>
      </c>
      <c r="I66" s="110">
        <f>SUM(I58:I65)</f>
        <v>390000</v>
      </c>
      <c r="J66" s="109" t="s">
        <v>15</v>
      </c>
      <c r="K66" s="110">
        <f>SUM(K58:K65)</f>
        <v>390000</v>
      </c>
      <c r="L66" s="109" t="s">
        <v>15</v>
      </c>
      <c r="M66" s="110">
        <f>SUM(M59:M65)</f>
        <v>0</v>
      </c>
      <c r="N66" s="109" t="s">
        <v>15</v>
      </c>
      <c r="O66" s="110">
        <f>M66-K66</f>
        <v>-390000</v>
      </c>
      <c r="Q66" s="86" t="s">
        <v>55</v>
      </c>
    </row>
    <row r="67" spans="1:20" ht="9" customHeight="1">
      <c r="A67" s="101"/>
      <c r="B67" s="98"/>
      <c r="C67" s="102"/>
      <c r="D67" s="100"/>
      <c r="E67" s="7"/>
      <c r="F67" s="100"/>
      <c r="G67" s="7"/>
      <c r="H67" s="100"/>
      <c r="I67" s="7"/>
      <c r="J67" s="100"/>
      <c r="K67" s="7"/>
      <c r="L67" s="100"/>
      <c r="M67" s="7"/>
      <c r="N67" s="100"/>
      <c r="O67" s="7"/>
    </row>
    <row r="68" spans="1:20">
      <c r="A68" s="1336" t="s">
        <v>277</v>
      </c>
      <c r="B68" s="1337"/>
      <c r="C68" s="113"/>
      <c r="D68" s="125" t="s">
        <v>15</v>
      </c>
      <c r="E68" s="126">
        <f>E55+E37+E66</f>
        <v>4620097.5</v>
      </c>
      <c r="F68" s="125" t="s">
        <v>15</v>
      </c>
      <c r="G68" s="126">
        <f>G66+G55+G37</f>
        <v>2325977.2200000002</v>
      </c>
      <c r="H68" s="125" t="s">
        <v>15</v>
      </c>
      <c r="I68" s="126">
        <f>I66+I55+I37</f>
        <v>4937383.7799999993</v>
      </c>
      <c r="J68" s="125" t="s">
        <v>15</v>
      </c>
      <c r="K68" s="126">
        <f>K66+K55+K37</f>
        <v>7263361</v>
      </c>
      <c r="L68" s="125" t="s">
        <v>15</v>
      </c>
      <c r="M68" s="126">
        <f>M66+M55+M37</f>
        <v>6739138</v>
      </c>
      <c r="N68" s="125"/>
      <c r="O68" s="126"/>
    </row>
    <row r="69" spans="1:20">
      <c r="A69" s="62" t="s">
        <v>1623</v>
      </c>
      <c r="B69" s="916"/>
      <c r="C69" s="915"/>
      <c r="D69" s="149"/>
      <c r="E69" s="175"/>
      <c r="F69" s="149"/>
      <c r="G69" s="175"/>
      <c r="H69" s="149"/>
      <c r="I69" s="175"/>
      <c r="J69" s="149"/>
      <c r="K69" s="175"/>
      <c r="L69" s="149"/>
      <c r="M69" s="175"/>
      <c r="N69" s="149"/>
      <c r="O69" s="175"/>
    </row>
    <row r="70" spans="1:20" s="127" customFormat="1" ht="17.25" customHeight="1">
      <c r="A70" s="127" t="s">
        <v>187</v>
      </c>
      <c r="C70" s="128" t="s">
        <v>188</v>
      </c>
      <c r="F70" s="129"/>
      <c r="I70" s="127" t="s">
        <v>190</v>
      </c>
      <c r="L70" s="129"/>
      <c r="N70" s="129"/>
      <c r="P70" s="130"/>
      <c r="Q70" s="130"/>
      <c r="R70" s="130"/>
      <c r="S70" s="130"/>
      <c r="T70" s="130"/>
    </row>
    <row r="72" spans="1:20">
      <c r="B72" s="185" t="s">
        <v>11</v>
      </c>
      <c r="F72" s="185"/>
      <c r="G72" s="185"/>
      <c r="H72" s="185"/>
      <c r="I72" s="185"/>
      <c r="J72" s="185"/>
      <c r="K72" s="185"/>
      <c r="L72" s="774"/>
      <c r="M72" s="774"/>
      <c r="N72" s="185"/>
      <c r="O72" s="185"/>
    </row>
    <row r="73" spans="1:20" s="89" customFormat="1">
      <c r="A73" s="1323" t="s">
        <v>1605</v>
      </c>
      <c r="B73" s="1323"/>
      <c r="C73" s="1323" t="s">
        <v>1584</v>
      </c>
      <c r="D73" s="1323"/>
      <c r="E73" s="1323"/>
      <c r="F73" s="1323"/>
      <c r="G73" s="1323"/>
      <c r="H73" s="131"/>
      <c r="I73" s="1323" t="str">
        <f>mpdo!I82</f>
        <v>(Sgd.) ATTY. JOSE JOEL P. DOROMAL</v>
      </c>
      <c r="J73" s="1323"/>
      <c r="K73" s="1323"/>
      <c r="L73" s="1323"/>
      <c r="M73" s="1323"/>
      <c r="N73" s="132"/>
      <c r="O73" s="132"/>
    </row>
    <row r="74" spans="1:20" ht="12" customHeight="1">
      <c r="A74" s="1322" t="s">
        <v>509</v>
      </c>
      <c r="B74" s="1322"/>
      <c r="C74" s="1322" t="s">
        <v>206</v>
      </c>
      <c r="D74" s="1322"/>
      <c r="E74" s="1322"/>
      <c r="F74" s="1322"/>
      <c r="G74" s="1322"/>
      <c r="I74" s="1322" t="s">
        <v>192</v>
      </c>
      <c r="J74" s="1322"/>
      <c r="K74" s="1322"/>
      <c r="L74" s="1322"/>
      <c r="M74" s="1322"/>
      <c r="N74" s="133"/>
      <c r="O74" s="133"/>
    </row>
    <row r="75" spans="1:20">
      <c r="A75" s="1322"/>
      <c r="B75" s="1322"/>
      <c r="C75" s="1322"/>
      <c r="D75" s="1322"/>
      <c r="E75" s="1322"/>
      <c r="F75" s="1322"/>
      <c r="G75" s="1322"/>
      <c r="I75" s="1322"/>
      <c r="J75" s="1322"/>
      <c r="K75" s="1322"/>
      <c r="L75" s="1322"/>
      <c r="M75" s="1322"/>
      <c r="N75" s="1322"/>
      <c r="O75" s="1322"/>
    </row>
    <row r="124" spans="1:5">
      <c r="A124" s="134" t="s">
        <v>220</v>
      </c>
      <c r="B124" s="92"/>
      <c r="C124" s="92"/>
      <c r="D124" s="116"/>
      <c r="E124" s="115"/>
    </row>
    <row r="125" spans="1:5">
      <c r="A125" s="1324" t="s">
        <v>60</v>
      </c>
      <c r="B125" s="1311"/>
      <c r="C125" s="108"/>
      <c r="D125" s="111"/>
      <c r="E125" s="98"/>
    </row>
    <row r="126" spans="1:5">
      <c r="A126" s="101" t="s">
        <v>233</v>
      </c>
      <c r="B126" s="108"/>
      <c r="C126" s="108"/>
      <c r="D126" s="111"/>
      <c r="E126" s="135" t="s">
        <v>228</v>
      </c>
    </row>
    <row r="127" spans="1:5">
      <c r="A127" s="101"/>
      <c r="B127" s="108"/>
      <c r="C127" s="108"/>
      <c r="D127" s="111"/>
      <c r="E127" s="98"/>
    </row>
    <row r="128" spans="1:5">
      <c r="A128" s="136" t="s">
        <v>61</v>
      </c>
      <c r="B128" s="108"/>
      <c r="C128" s="108"/>
      <c r="D128" s="111" t="s">
        <v>15</v>
      </c>
      <c r="E128" s="7">
        <v>341000</v>
      </c>
    </row>
    <row r="129" spans="1:5">
      <c r="A129" s="136" t="s">
        <v>77</v>
      </c>
      <c r="B129" s="108"/>
      <c r="C129" s="108"/>
      <c r="D129" s="111"/>
      <c r="E129" s="7">
        <v>45000</v>
      </c>
    </row>
    <row r="130" spans="1:5" ht="15.75">
      <c r="A130" s="136" t="s">
        <v>94</v>
      </c>
      <c r="B130" s="108"/>
      <c r="C130" s="108"/>
      <c r="D130" s="111"/>
      <c r="E130" s="137">
        <v>50000</v>
      </c>
    </row>
    <row r="131" spans="1:5">
      <c r="A131" s="1320" t="s">
        <v>64</v>
      </c>
      <c r="B131" s="1321"/>
      <c r="C131" s="108"/>
      <c r="D131" s="111" t="s">
        <v>15</v>
      </c>
      <c r="E131" s="7">
        <f>SUM(E128:E130)</f>
        <v>436000</v>
      </c>
    </row>
    <row r="132" spans="1:5">
      <c r="A132" s="138"/>
      <c r="B132" s="90"/>
      <c r="C132" s="90"/>
      <c r="D132" s="139"/>
      <c r="E132" s="112"/>
    </row>
    <row r="135" spans="1:5">
      <c r="A135" s="134" t="s">
        <v>220</v>
      </c>
      <c r="B135" s="92"/>
      <c r="C135" s="92"/>
      <c r="D135" s="116"/>
      <c r="E135" s="115"/>
    </row>
    <row r="136" spans="1:5">
      <c r="A136" s="1324" t="s">
        <v>60</v>
      </c>
      <c r="B136" s="1311"/>
      <c r="C136" s="108"/>
      <c r="D136" s="111"/>
      <c r="E136" s="98"/>
    </row>
    <row r="137" spans="1:5">
      <c r="A137" s="101" t="s">
        <v>233</v>
      </c>
      <c r="B137" s="108"/>
      <c r="C137" s="108"/>
      <c r="D137" s="111"/>
      <c r="E137" s="135" t="s">
        <v>300</v>
      </c>
    </row>
    <row r="138" spans="1:5">
      <c r="A138" s="101"/>
      <c r="B138" s="108"/>
      <c r="C138" s="108"/>
      <c r="D138" s="111"/>
      <c r="E138" s="98"/>
    </row>
    <row r="139" spans="1:5">
      <c r="A139" s="136" t="s">
        <v>61</v>
      </c>
      <c r="B139" s="108"/>
      <c r="C139" s="108"/>
      <c r="D139" s="111" t="s">
        <v>15</v>
      </c>
      <c r="E139" s="7">
        <v>368000</v>
      </c>
    </row>
    <row r="140" spans="1:5">
      <c r="A140" s="136" t="s">
        <v>77</v>
      </c>
      <c r="B140" s="108"/>
      <c r="C140" s="108"/>
      <c r="D140" s="111"/>
      <c r="E140" s="7">
        <f>45000+20000</f>
        <v>65000</v>
      </c>
    </row>
    <row r="141" spans="1:5">
      <c r="A141" s="136" t="s">
        <v>94</v>
      </c>
      <c r="B141" s="108"/>
      <c r="C141" s="108"/>
      <c r="D141" s="111"/>
      <c r="E141" s="7">
        <v>50000</v>
      </c>
    </row>
    <row r="142" spans="1:5" ht="15.75">
      <c r="A142" s="136" t="s">
        <v>323</v>
      </c>
      <c r="B142" s="108"/>
      <c r="C142" s="108"/>
      <c r="D142" s="111"/>
      <c r="E142" s="137">
        <v>150000</v>
      </c>
    </row>
    <row r="143" spans="1:5">
      <c r="A143" s="1320" t="s">
        <v>64</v>
      </c>
      <c r="B143" s="1321"/>
      <c r="C143" s="108"/>
      <c r="D143" s="111" t="s">
        <v>15</v>
      </c>
      <c r="E143" s="7">
        <f>SUM(E139:E142)</f>
        <v>633000</v>
      </c>
    </row>
    <row r="144" spans="1:5">
      <c r="A144" s="138"/>
      <c r="B144" s="90"/>
      <c r="C144" s="90"/>
      <c r="D144" s="139"/>
      <c r="E144" s="112"/>
    </row>
    <row r="149" spans="1:5">
      <c r="A149" s="134" t="s">
        <v>220</v>
      </c>
      <c r="B149" s="92"/>
      <c r="C149" s="92"/>
      <c r="D149" s="116"/>
      <c r="E149" s="115"/>
    </row>
    <row r="150" spans="1:5">
      <c r="A150" s="1324" t="s">
        <v>60</v>
      </c>
      <c r="B150" s="1311"/>
      <c r="C150" s="108"/>
      <c r="D150" s="111"/>
      <c r="E150" s="98"/>
    </row>
    <row r="151" spans="1:5">
      <c r="A151" s="101" t="s">
        <v>233</v>
      </c>
      <c r="B151" s="108"/>
      <c r="C151" s="108"/>
      <c r="D151" s="111"/>
      <c r="E151" s="135" t="s">
        <v>300</v>
      </c>
    </row>
    <row r="152" spans="1:5">
      <c r="A152" s="101"/>
      <c r="B152" s="108"/>
      <c r="C152" s="108"/>
      <c r="D152" s="111"/>
      <c r="E152" s="98"/>
    </row>
    <row r="153" spans="1:5">
      <c r="A153" s="136" t="s">
        <v>61</v>
      </c>
      <c r="B153" s="108"/>
      <c r="C153" s="108"/>
      <c r="D153" s="111" t="s">
        <v>15</v>
      </c>
      <c r="E153" s="7">
        <v>368000</v>
      </c>
    </row>
    <row r="154" spans="1:5">
      <c r="A154" s="136" t="s">
        <v>77</v>
      </c>
      <c r="B154" s="108"/>
      <c r="C154" s="108"/>
      <c r="D154" s="111"/>
      <c r="E154" s="7">
        <f>45000+20000</f>
        <v>65000</v>
      </c>
    </row>
    <row r="155" spans="1:5">
      <c r="A155" s="136" t="s">
        <v>94</v>
      </c>
      <c r="B155" s="108"/>
      <c r="C155" s="108"/>
      <c r="D155" s="111"/>
      <c r="E155" s="7">
        <v>50000</v>
      </c>
    </row>
    <row r="156" spans="1:5" ht="15.75">
      <c r="A156" s="136" t="s">
        <v>323</v>
      </c>
      <c r="B156" s="108"/>
      <c r="C156" s="108"/>
      <c r="D156" s="111"/>
      <c r="E156" s="137">
        <v>150000</v>
      </c>
    </row>
    <row r="157" spans="1:5">
      <c r="A157" s="1320" t="s">
        <v>64</v>
      </c>
      <c r="B157" s="1321"/>
      <c r="C157" s="108"/>
      <c r="D157" s="111" t="s">
        <v>15</v>
      </c>
      <c r="E157" s="7">
        <f>SUM(E153:E156)</f>
        <v>633000</v>
      </c>
    </row>
    <row r="158" spans="1:5">
      <c r="A158" s="138"/>
      <c r="B158" s="90"/>
      <c r="C158" s="90"/>
      <c r="D158" s="139"/>
      <c r="E158" s="112"/>
    </row>
    <row r="160" spans="1:5">
      <c r="A160" s="1352" t="s">
        <v>221</v>
      </c>
      <c r="B160" s="1353"/>
      <c r="C160" s="1353"/>
      <c r="D160" s="1353"/>
      <c r="E160" s="1354"/>
    </row>
    <row r="161" spans="1:5">
      <c r="A161" s="114"/>
      <c r="B161" s="92"/>
      <c r="C161" s="92"/>
      <c r="D161" s="116"/>
      <c r="E161" s="115"/>
    </row>
    <row r="162" spans="1:5">
      <c r="A162" s="1324" t="s">
        <v>60</v>
      </c>
      <c r="B162" s="1311"/>
      <c r="C162" s="108"/>
      <c r="D162" s="111"/>
      <c r="E162" s="98"/>
    </row>
    <row r="163" spans="1:5">
      <c r="A163" s="101" t="s">
        <v>233</v>
      </c>
      <c r="B163" s="108"/>
      <c r="C163" s="108"/>
      <c r="D163" s="111"/>
      <c r="E163" s="135" t="s">
        <v>300</v>
      </c>
    </row>
    <row r="164" spans="1:5">
      <c r="A164" s="101"/>
      <c r="B164" s="108"/>
      <c r="C164" s="108"/>
      <c r="D164" s="111"/>
      <c r="E164" s="98"/>
    </row>
    <row r="165" spans="1:5">
      <c r="A165" s="136" t="s">
        <v>61</v>
      </c>
      <c r="B165" s="108"/>
      <c r="C165" s="108"/>
      <c r="D165" s="111" t="s">
        <v>15</v>
      </c>
      <c r="E165" s="7">
        <v>718000</v>
      </c>
    </row>
    <row r="166" spans="1:5">
      <c r="A166" s="136" t="s">
        <v>80</v>
      </c>
      <c r="B166" s="108"/>
      <c r="C166" s="108"/>
      <c r="D166" s="111"/>
      <c r="E166" s="7">
        <v>68000</v>
      </c>
    </row>
    <row r="167" spans="1:5">
      <c r="A167" s="136" t="s">
        <v>316</v>
      </c>
      <c r="B167" s="108"/>
      <c r="C167" s="108"/>
      <c r="D167" s="111"/>
      <c r="E167" s="7">
        <v>100000</v>
      </c>
    </row>
    <row r="168" spans="1:5">
      <c r="A168" s="136" t="s">
        <v>77</v>
      </c>
      <c r="B168" s="108"/>
      <c r="C168" s="108"/>
      <c r="D168" s="111"/>
      <c r="E168" s="7">
        <v>179000</v>
      </c>
    </row>
    <row r="169" spans="1:5" ht="15.75">
      <c r="A169" s="136" t="s">
        <v>323</v>
      </c>
      <c r="B169" s="108"/>
      <c r="C169" s="108"/>
      <c r="D169" s="111"/>
      <c r="E169" s="137">
        <v>210000</v>
      </c>
    </row>
    <row r="170" spans="1:5">
      <c r="A170" s="1320" t="s">
        <v>64</v>
      </c>
      <c r="B170" s="1321"/>
      <c r="C170" s="108"/>
      <c r="D170" s="111" t="s">
        <v>15</v>
      </c>
      <c r="E170" s="7">
        <f>SUM(E165:E169)</f>
        <v>1275000</v>
      </c>
    </row>
    <row r="171" spans="1:5">
      <c r="A171" s="138"/>
      <c r="B171" s="90"/>
      <c r="C171" s="90"/>
      <c r="D171" s="139"/>
      <c r="E171" s="112"/>
    </row>
    <row r="173" spans="1:5">
      <c r="A173" s="134" t="s">
        <v>223</v>
      </c>
      <c r="B173" s="92"/>
      <c r="C173" s="92"/>
      <c r="D173" s="116"/>
      <c r="E173" s="115"/>
    </row>
    <row r="174" spans="1:5">
      <c r="A174" s="1324" t="s">
        <v>60</v>
      </c>
      <c r="B174" s="1311"/>
      <c r="C174" s="108"/>
      <c r="D174" s="111"/>
      <c r="E174" s="98"/>
    </row>
    <row r="175" spans="1:5">
      <c r="A175" s="101" t="s">
        <v>233</v>
      </c>
      <c r="B175" s="108"/>
      <c r="C175" s="108"/>
      <c r="D175" s="111"/>
      <c r="E175" s="135" t="s">
        <v>300</v>
      </c>
    </row>
    <row r="176" spans="1:5">
      <c r="A176" s="101"/>
      <c r="B176" s="108"/>
      <c r="C176" s="108"/>
      <c r="D176" s="111"/>
      <c r="E176" s="98"/>
    </row>
    <row r="177" spans="1:5">
      <c r="A177" s="136" t="s">
        <v>61</v>
      </c>
      <c r="B177" s="108"/>
      <c r="C177" s="108"/>
      <c r="D177" s="111" t="s">
        <v>15</v>
      </c>
      <c r="E177" s="7">
        <v>721000</v>
      </c>
    </row>
    <row r="178" spans="1:5">
      <c r="A178" s="136" t="s">
        <v>80</v>
      </c>
      <c r="B178" s="108"/>
      <c r="C178" s="108"/>
      <c r="D178" s="111"/>
      <c r="E178" s="7">
        <v>106000</v>
      </c>
    </row>
    <row r="179" spans="1:5">
      <c r="A179" s="136" t="s">
        <v>77</v>
      </c>
      <c r="B179" s="108"/>
      <c r="C179" s="108"/>
      <c r="D179" s="111"/>
      <c r="E179" s="7">
        <v>123000</v>
      </c>
    </row>
    <row r="180" spans="1:5" ht="15.75">
      <c r="A180" s="136" t="s">
        <v>323</v>
      </c>
      <c r="B180" s="108"/>
      <c r="C180" s="108"/>
      <c r="D180" s="111"/>
      <c r="E180" s="137">
        <v>390000</v>
      </c>
    </row>
    <row r="181" spans="1:5">
      <c r="A181" s="1347" t="s">
        <v>64</v>
      </c>
      <c r="B181" s="1348"/>
      <c r="C181" s="90"/>
      <c r="D181" s="139" t="s">
        <v>15</v>
      </c>
      <c r="E181" s="105">
        <f>SUM(E177:E180)</f>
        <v>1340000</v>
      </c>
    </row>
  </sheetData>
  <sheetProtection algorithmName="SHA-512" hashValue="iWGhbCrlTIVHxWzXoK9ewnjAGNKRDGmWfSOVRU55Kztn3Wj4CSovt+ZVnGs0kKG5gnPz3RM8zuAmOBsxXINwXg==" saltValue="cPZb5zFjqRqHx8b88Z6Kiw==" spinCount="100000" sheet="1" objects="1" scenarios="1"/>
  <mergeCells count="40">
    <mergeCell ref="A3:M3"/>
    <mergeCell ref="A4:M4"/>
    <mergeCell ref="N11:O13"/>
    <mergeCell ref="H12:I12"/>
    <mergeCell ref="A37:B37"/>
    <mergeCell ref="F13:G13"/>
    <mergeCell ref="A12:B12"/>
    <mergeCell ref="D12:E12"/>
    <mergeCell ref="F11:K11"/>
    <mergeCell ref="H13:I13"/>
    <mergeCell ref="J12:K13"/>
    <mergeCell ref="D13:E13"/>
    <mergeCell ref="F12:G12"/>
    <mergeCell ref="D11:E11"/>
    <mergeCell ref="L11:M11"/>
    <mergeCell ref="L12:M12"/>
    <mergeCell ref="A136:B136"/>
    <mergeCell ref="A143:B143"/>
    <mergeCell ref="A131:B131"/>
    <mergeCell ref="A125:B125"/>
    <mergeCell ref="A55:B55"/>
    <mergeCell ref="A73:B73"/>
    <mergeCell ref="A68:B68"/>
    <mergeCell ref="A74:B74"/>
    <mergeCell ref="A66:B66"/>
    <mergeCell ref="A75:B75"/>
    <mergeCell ref="A181:B181"/>
    <mergeCell ref="A150:B150"/>
    <mergeCell ref="A157:B157"/>
    <mergeCell ref="A160:E160"/>
    <mergeCell ref="A162:B162"/>
    <mergeCell ref="A170:B170"/>
    <mergeCell ref="A174:B174"/>
    <mergeCell ref="L13:M13"/>
    <mergeCell ref="I75:O75"/>
    <mergeCell ref="C75:G75"/>
    <mergeCell ref="C73:G73"/>
    <mergeCell ref="C74:G74"/>
    <mergeCell ref="I73:M73"/>
    <mergeCell ref="I74:M74"/>
  </mergeCells>
  <phoneticPr fontId="0" type="noConversion"/>
  <pageMargins left="0.2" right="0.2" top="1" bottom="1" header="0.511811023622047" footer="0.511811023622047"/>
  <pageSetup paperSize="14" fitToWidth="0" orientation="portrait" verticalDpi="300" r:id="rId1"/>
  <headerFooter scaleWithDoc="0" alignWithMargins="0">
    <oddHeader>&amp;RPage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V155"/>
  <sheetViews>
    <sheetView topLeftCell="A79" zoomScale="190" zoomScaleNormal="190" workbookViewId="0">
      <selection activeCell="N22" sqref="N22"/>
    </sheetView>
  </sheetViews>
  <sheetFormatPr defaultColWidth="9.140625" defaultRowHeight="13.5"/>
  <cols>
    <col min="1" max="1" width="4.7109375" style="86" customWidth="1"/>
    <col min="2" max="2" width="22.42578125" style="86" customWidth="1"/>
    <col min="3" max="3" width="8.28515625" style="86" customWidth="1"/>
    <col min="4" max="4" width="1.7109375" style="87" customWidth="1"/>
    <col min="5" max="5" width="11.140625" style="86" customWidth="1"/>
    <col min="6" max="6" width="1.5703125" style="87" customWidth="1"/>
    <col min="7" max="7" width="10.28515625" style="86" customWidth="1"/>
    <col min="8" max="8" width="1.5703125" style="87" customWidth="1"/>
    <col min="9" max="9" width="11.5703125" style="86" customWidth="1"/>
    <col min="10" max="10" width="1.5703125" style="87" customWidth="1"/>
    <col min="11" max="11" width="11.28515625" style="86" customWidth="1"/>
    <col min="12" max="12" width="1.5703125" style="87" customWidth="1"/>
    <col min="13" max="13" width="10.7109375" style="86" customWidth="1"/>
    <col min="14" max="14" width="1.5703125" style="87" hidden="1" customWidth="1"/>
    <col min="15" max="15" width="10.28515625" style="86" hidden="1" customWidth="1"/>
    <col min="16" max="16" width="11" style="961" bestFit="1" customWidth="1"/>
    <col min="17" max="17" width="13.28515625" style="961" bestFit="1" customWidth="1"/>
    <col min="18" max="18" width="10.28515625" style="961" customWidth="1"/>
    <col min="19" max="16384" width="9.140625" style="86"/>
  </cols>
  <sheetData>
    <row r="1" spans="1:20">
      <c r="A1" s="86" t="s">
        <v>186</v>
      </c>
    </row>
    <row r="2" spans="1:20" ht="6.75" customHeight="1"/>
    <row r="3" spans="1:20" ht="12.75" customHeight="1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"/>
      <c r="O3" s="132"/>
      <c r="P3" s="962"/>
      <c r="Q3" s="962"/>
      <c r="R3" s="962"/>
      <c r="S3" s="88"/>
      <c r="T3" s="88"/>
    </row>
    <row r="4" spans="1:20" ht="10.5" customHeight="1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"/>
      <c r="O4" s="132"/>
      <c r="P4" s="962"/>
      <c r="Q4" s="962"/>
      <c r="R4" s="962"/>
      <c r="S4" s="88"/>
      <c r="T4" s="88"/>
    </row>
    <row r="5" spans="1:20" ht="9.75" customHeight="1"/>
    <row r="6" spans="1:20">
      <c r="A6" s="89" t="s">
        <v>85</v>
      </c>
      <c r="B6" s="90" t="s">
        <v>424</v>
      </c>
      <c r="C6" s="90"/>
    </row>
    <row r="7" spans="1:20" ht="13.5" hidden="1" customHeight="1">
      <c r="A7" s="86" t="s">
        <v>2</v>
      </c>
      <c r="B7" s="91" t="s">
        <v>425</v>
      </c>
      <c r="C7" s="91"/>
      <c r="F7" s="804"/>
      <c r="G7" s="804"/>
      <c r="H7" s="804"/>
      <c r="I7" s="804"/>
      <c r="J7" s="804"/>
      <c r="K7" s="804"/>
      <c r="L7" s="804"/>
      <c r="M7" s="804"/>
      <c r="N7" s="804"/>
      <c r="O7" s="804"/>
    </row>
    <row r="8" spans="1:20" ht="13.5" hidden="1" customHeight="1">
      <c r="A8" s="86" t="s">
        <v>3</v>
      </c>
      <c r="B8" s="91" t="s">
        <v>426</v>
      </c>
      <c r="C8" s="91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1:20" ht="13.5" hidden="1" customHeight="1">
      <c r="A9" s="86" t="s">
        <v>4</v>
      </c>
      <c r="B9" s="91" t="s">
        <v>404</v>
      </c>
      <c r="C9" s="91"/>
    </row>
    <row r="10" spans="1:20" ht="7.5" customHeight="1">
      <c r="B10" s="92"/>
      <c r="C10" s="92"/>
    </row>
    <row r="11" spans="1:20">
      <c r="A11" s="93"/>
      <c r="B11" s="94"/>
      <c r="C11" s="2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292" t="s">
        <v>494</v>
      </c>
      <c r="O11" s="1293"/>
    </row>
    <row r="12" spans="1:20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294"/>
      <c r="O12" s="1295"/>
    </row>
    <row r="13" spans="1:20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296"/>
      <c r="O13" s="1297"/>
    </row>
    <row r="14" spans="1:20" ht="12" customHeight="1">
      <c r="A14" s="97" t="s">
        <v>281</v>
      </c>
      <c r="B14" s="98"/>
      <c r="C14" s="99"/>
      <c r="D14" s="100"/>
      <c r="E14" s="7"/>
      <c r="F14" s="100"/>
      <c r="G14" s="7"/>
      <c r="H14" s="100"/>
      <c r="I14" s="7"/>
      <c r="J14" s="100"/>
      <c r="K14" s="7"/>
      <c r="L14" s="100"/>
      <c r="M14" s="7"/>
      <c r="N14" s="100"/>
      <c r="O14" s="7"/>
    </row>
    <row r="15" spans="1:20" ht="12" customHeight="1">
      <c r="A15" s="101" t="s">
        <v>262</v>
      </c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  <c r="N15" s="100"/>
      <c r="O15" s="7"/>
    </row>
    <row r="16" spans="1:20" ht="12" customHeight="1">
      <c r="A16" s="101" t="s">
        <v>263</v>
      </c>
      <c r="B16" s="98"/>
      <c r="C16" s="102" t="s">
        <v>114</v>
      </c>
      <c r="D16" s="100" t="s">
        <v>15</v>
      </c>
      <c r="E16" s="7">
        <v>1597141.94</v>
      </c>
      <c r="F16" s="100" t="s">
        <v>15</v>
      </c>
      <c r="G16" s="7">
        <v>1037678.7</v>
      </c>
      <c r="H16" s="100" t="s">
        <v>15</v>
      </c>
      <c r="I16" s="7">
        <f>K16-G16</f>
        <v>1139373.3</v>
      </c>
      <c r="J16" s="100" t="s">
        <v>15</v>
      </c>
      <c r="K16" s="7">
        <v>2177052</v>
      </c>
      <c r="L16" s="100" t="s">
        <v>15</v>
      </c>
      <c r="M16" s="7">
        <v>2177028</v>
      </c>
      <c r="N16" s="104" t="s">
        <v>15</v>
      </c>
      <c r="O16" s="105">
        <v>0</v>
      </c>
      <c r="Q16" s="963"/>
    </row>
    <row r="17" spans="1:17" ht="12" customHeight="1">
      <c r="A17" s="101" t="s">
        <v>264</v>
      </c>
      <c r="B17" s="98"/>
      <c r="C17" s="102" t="s">
        <v>115</v>
      </c>
      <c r="D17" s="100"/>
      <c r="E17" s="7">
        <v>978140.34</v>
      </c>
      <c r="F17" s="100"/>
      <c r="G17" s="7">
        <v>720328.77</v>
      </c>
      <c r="H17" s="100"/>
      <c r="I17" s="7">
        <f t="shared" ref="I17:I31" si="0">K17-G17</f>
        <v>827263.23</v>
      </c>
      <c r="J17" s="100"/>
      <c r="K17" s="7">
        <v>1547592</v>
      </c>
      <c r="L17" s="100"/>
      <c r="M17" s="7">
        <v>1959576</v>
      </c>
      <c r="N17" s="748"/>
      <c r="O17" s="749">
        <v>0</v>
      </c>
      <c r="Q17" s="963"/>
    </row>
    <row r="18" spans="1:17" ht="12" customHeight="1">
      <c r="A18" s="101" t="s">
        <v>265</v>
      </c>
      <c r="B18" s="98"/>
      <c r="C18" s="102"/>
      <c r="D18" s="100"/>
      <c r="E18" s="7"/>
      <c r="F18" s="100"/>
      <c r="G18" s="7"/>
      <c r="H18" s="100"/>
      <c r="I18" s="7"/>
      <c r="J18" s="100"/>
      <c r="K18" s="7"/>
      <c r="L18" s="100"/>
      <c r="M18" s="7"/>
      <c r="N18" s="748"/>
      <c r="O18" s="749"/>
      <c r="P18" s="963"/>
    </row>
    <row r="19" spans="1:17" ht="12" customHeight="1">
      <c r="A19" s="101" t="s">
        <v>266</v>
      </c>
      <c r="B19" s="98"/>
      <c r="C19" s="102" t="s">
        <v>116</v>
      </c>
      <c r="D19" s="100"/>
      <c r="E19" s="7">
        <v>239909.88</v>
      </c>
      <c r="F19" s="100"/>
      <c r="G19" s="7">
        <v>166721.74</v>
      </c>
      <c r="H19" s="100"/>
      <c r="I19" s="7">
        <f t="shared" si="0"/>
        <v>193278.26</v>
      </c>
      <c r="J19" s="100"/>
      <c r="K19" s="7">
        <v>360000</v>
      </c>
      <c r="L19" s="100"/>
      <c r="M19" s="7">
        <v>384000</v>
      </c>
      <c r="N19" s="748"/>
      <c r="O19" s="749">
        <v>0</v>
      </c>
      <c r="Q19" s="963"/>
    </row>
    <row r="20" spans="1:17" ht="12" customHeight="1">
      <c r="A20" s="101" t="s">
        <v>267</v>
      </c>
      <c r="B20" s="98"/>
      <c r="C20" s="102" t="s">
        <v>117</v>
      </c>
      <c r="D20" s="100"/>
      <c r="E20" s="7">
        <v>81000</v>
      </c>
      <c r="F20" s="100"/>
      <c r="G20" s="7">
        <v>40500</v>
      </c>
      <c r="H20" s="100"/>
      <c r="I20" s="7">
        <f t="shared" si="0"/>
        <v>40500</v>
      </c>
      <c r="J20" s="100"/>
      <c r="K20" s="7">
        <v>81000</v>
      </c>
      <c r="L20" s="100"/>
      <c r="M20" s="7">
        <v>81000</v>
      </c>
      <c r="N20" s="748"/>
      <c r="O20" s="749">
        <v>0</v>
      </c>
      <c r="Q20" s="963"/>
    </row>
    <row r="21" spans="1:17" ht="12" customHeight="1">
      <c r="A21" s="101" t="s">
        <v>268</v>
      </c>
      <c r="B21" s="106"/>
      <c r="C21" s="102" t="s">
        <v>118</v>
      </c>
      <c r="D21" s="100"/>
      <c r="E21" s="7">
        <v>81000</v>
      </c>
      <c r="F21" s="100"/>
      <c r="G21" s="7">
        <v>40500</v>
      </c>
      <c r="H21" s="100"/>
      <c r="I21" s="7">
        <f t="shared" si="0"/>
        <v>40500</v>
      </c>
      <c r="J21" s="100"/>
      <c r="K21" s="7">
        <v>81000</v>
      </c>
      <c r="L21" s="100"/>
      <c r="M21" s="7">
        <v>81000</v>
      </c>
      <c r="N21" s="748"/>
      <c r="O21" s="749">
        <v>0</v>
      </c>
      <c r="Q21" s="963"/>
    </row>
    <row r="22" spans="1:17" ht="12" customHeight="1">
      <c r="A22" s="101" t="s">
        <v>269</v>
      </c>
      <c r="B22" s="106"/>
      <c r="C22" s="102" t="s">
        <v>119</v>
      </c>
      <c r="D22" s="100"/>
      <c r="E22" s="7">
        <v>66000</v>
      </c>
      <c r="F22" s="100"/>
      <c r="G22" s="7">
        <v>84000</v>
      </c>
      <c r="H22" s="100"/>
      <c r="I22" s="7">
        <f t="shared" si="0"/>
        <v>6000</v>
      </c>
      <c r="J22" s="100"/>
      <c r="K22" s="7">
        <v>90000</v>
      </c>
      <c r="L22" s="100"/>
      <c r="M22" s="7">
        <v>96000</v>
      </c>
      <c r="N22" s="748"/>
      <c r="O22" s="749">
        <v>0</v>
      </c>
      <c r="Q22" s="963"/>
    </row>
    <row r="23" spans="1:17" ht="12" customHeight="1">
      <c r="A23" s="101" t="s">
        <v>270</v>
      </c>
      <c r="B23" s="106"/>
      <c r="C23" s="102" t="s">
        <v>120</v>
      </c>
      <c r="D23" s="100"/>
      <c r="E23" s="7">
        <v>50000</v>
      </c>
      <c r="F23" s="100"/>
      <c r="G23" s="7">
        <v>0</v>
      </c>
      <c r="H23" s="100"/>
      <c r="I23" s="7">
        <f t="shared" si="0"/>
        <v>75000</v>
      </c>
      <c r="J23" s="100"/>
      <c r="K23" s="7">
        <v>75000</v>
      </c>
      <c r="L23" s="100"/>
      <c r="M23" s="7">
        <v>80000</v>
      </c>
      <c r="N23" s="748"/>
      <c r="O23" s="749">
        <v>0</v>
      </c>
      <c r="Q23" s="963"/>
    </row>
    <row r="24" spans="1:17" ht="12" customHeight="1">
      <c r="A24" s="101" t="s">
        <v>271</v>
      </c>
      <c r="B24" s="98"/>
      <c r="C24" s="102" t="s">
        <v>121</v>
      </c>
      <c r="D24" s="100"/>
      <c r="E24" s="7">
        <v>226734.05</v>
      </c>
      <c r="F24" s="100"/>
      <c r="G24" s="7">
        <v>0</v>
      </c>
      <c r="H24" s="100"/>
      <c r="I24" s="7">
        <f t="shared" si="0"/>
        <v>310387</v>
      </c>
      <c r="J24" s="100"/>
      <c r="K24" s="7">
        <v>310387</v>
      </c>
      <c r="L24" s="100"/>
      <c r="M24" s="7">
        <v>344717</v>
      </c>
      <c r="N24" s="748"/>
      <c r="O24" s="749">
        <v>0</v>
      </c>
      <c r="Q24" s="963"/>
    </row>
    <row r="25" spans="1:17" ht="12" customHeight="1">
      <c r="A25" s="101" t="s">
        <v>278</v>
      </c>
      <c r="B25" s="108"/>
      <c r="C25" s="102" t="s">
        <v>258</v>
      </c>
      <c r="D25" s="100"/>
      <c r="E25" s="7"/>
      <c r="F25" s="100"/>
      <c r="G25" s="7"/>
      <c r="H25" s="100"/>
      <c r="I25" s="7"/>
      <c r="J25" s="100"/>
      <c r="K25" s="7"/>
      <c r="L25" s="100"/>
      <c r="M25" s="7"/>
      <c r="N25" s="748"/>
      <c r="O25" s="749"/>
      <c r="Q25" s="963"/>
    </row>
    <row r="26" spans="1:17" ht="12" customHeight="1">
      <c r="A26" s="101" t="s">
        <v>279</v>
      </c>
      <c r="B26" s="108"/>
      <c r="C26" s="102"/>
      <c r="D26" s="100"/>
      <c r="E26" s="7">
        <v>205311.25</v>
      </c>
      <c r="F26" s="100"/>
      <c r="G26" s="7">
        <v>290410.02</v>
      </c>
      <c r="H26" s="100"/>
      <c r="I26" s="7">
        <f>K26-G26</f>
        <v>19976.979999999981</v>
      </c>
      <c r="J26" s="100"/>
      <c r="K26" s="7">
        <v>310387</v>
      </c>
      <c r="L26" s="100"/>
      <c r="M26" s="7">
        <v>344717</v>
      </c>
      <c r="N26" s="748"/>
      <c r="O26" s="749">
        <v>0</v>
      </c>
      <c r="Q26" s="963"/>
    </row>
    <row r="27" spans="1:17" ht="12" customHeight="1">
      <c r="A27" s="101" t="s">
        <v>280</v>
      </c>
      <c r="B27" s="108"/>
      <c r="C27" s="102"/>
      <c r="D27" s="100"/>
      <c r="E27" s="7">
        <v>0</v>
      </c>
      <c r="F27" s="100"/>
      <c r="G27" s="7">
        <v>30000</v>
      </c>
      <c r="H27" s="100"/>
      <c r="I27" s="7">
        <f>K27-G27</f>
        <v>15000</v>
      </c>
      <c r="J27" s="100"/>
      <c r="K27" s="7">
        <v>45000</v>
      </c>
      <c r="L27" s="100"/>
      <c r="M27" s="7">
        <v>0</v>
      </c>
      <c r="N27" s="748"/>
      <c r="O27" s="749">
        <v>0</v>
      </c>
      <c r="Q27" s="963"/>
    </row>
    <row r="28" spans="1:17" ht="12" customHeight="1">
      <c r="A28" s="101" t="s">
        <v>272</v>
      </c>
      <c r="B28" s="98"/>
      <c r="C28" s="102" t="s">
        <v>122</v>
      </c>
      <c r="D28" s="100"/>
      <c r="E28" s="7">
        <v>311177.53000000003</v>
      </c>
      <c r="F28" s="100"/>
      <c r="G28" s="7">
        <v>215111.22</v>
      </c>
      <c r="H28" s="100"/>
      <c r="I28" s="7">
        <f t="shared" si="0"/>
        <v>231846.78</v>
      </c>
      <c r="J28" s="100"/>
      <c r="K28" s="7">
        <v>446958</v>
      </c>
      <c r="L28" s="100"/>
      <c r="M28" s="7">
        <v>496393</v>
      </c>
      <c r="N28" s="748"/>
      <c r="O28" s="749">
        <v>0</v>
      </c>
      <c r="Q28" s="963"/>
    </row>
    <row r="29" spans="1:17" ht="12" customHeight="1">
      <c r="A29" s="101" t="s">
        <v>273</v>
      </c>
      <c r="B29" s="98"/>
      <c r="C29" s="102" t="s">
        <v>123</v>
      </c>
      <c r="D29" s="100"/>
      <c r="E29" s="7">
        <v>51327.98</v>
      </c>
      <c r="F29" s="100"/>
      <c r="G29" s="7">
        <v>13362.89</v>
      </c>
      <c r="H29" s="100"/>
      <c r="I29" s="7">
        <f t="shared" si="0"/>
        <v>61205.11</v>
      </c>
      <c r="J29" s="100"/>
      <c r="K29" s="7">
        <v>74568</v>
      </c>
      <c r="L29" s="100"/>
      <c r="M29" s="7">
        <v>19200</v>
      </c>
      <c r="N29" s="748"/>
      <c r="O29" s="749">
        <v>0</v>
      </c>
      <c r="Q29" s="963"/>
    </row>
    <row r="30" spans="1:17" ht="12" customHeight="1">
      <c r="A30" s="101" t="s">
        <v>274</v>
      </c>
      <c r="B30" s="98"/>
      <c r="C30" s="102" t="s">
        <v>124</v>
      </c>
      <c r="D30" s="100"/>
      <c r="E30" s="7">
        <v>34722.11</v>
      </c>
      <c r="F30" s="100"/>
      <c r="G30" s="7">
        <v>25931.55</v>
      </c>
      <c r="H30" s="100"/>
      <c r="I30" s="7">
        <f t="shared" si="0"/>
        <v>47784.45</v>
      </c>
      <c r="J30" s="100"/>
      <c r="K30" s="7">
        <v>73716</v>
      </c>
      <c r="L30" s="100"/>
      <c r="M30" s="7">
        <v>93192</v>
      </c>
      <c r="N30" s="748"/>
      <c r="O30" s="749">
        <v>0</v>
      </c>
      <c r="Q30" s="963"/>
    </row>
    <row r="31" spans="1:17" ht="12" customHeight="1">
      <c r="A31" s="101" t="s">
        <v>275</v>
      </c>
      <c r="B31" s="98"/>
      <c r="C31" s="102" t="s">
        <v>125</v>
      </c>
      <c r="D31" s="100"/>
      <c r="E31" s="7">
        <v>12400</v>
      </c>
      <c r="F31" s="100"/>
      <c r="G31" s="7">
        <v>8800</v>
      </c>
      <c r="H31" s="100"/>
      <c r="I31" s="7">
        <f t="shared" si="0"/>
        <v>9200</v>
      </c>
      <c r="J31" s="100"/>
      <c r="K31" s="7">
        <v>18000</v>
      </c>
      <c r="L31" s="100"/>
      <c r="M31" s="7">
        <v>19200</v>
      </c>
      <c r="N31" s="748"/>
      <c r="O31" s="749">
        <v>0</v>
      </c>
      <c r="Q31" s="963"/>
    </row>
    <row r="32" spans="1:17" ht="12" customHeight="1">
      <c r="A32" s="101" t="s">
        <v>276</v>
      </c>
      <c r="B32" s="108"/>
      <c r="C32" s="102" t="s">
        <v>161</v>
      </c>
      <c r="D32" s="100"/>
      <c r="E32" s="7"/>
      <c r="F32" s="100"/>
      <c r="G32" s="7"/>
      <c r="H32" s="100"/>
      <c r="I32" s="7"/>
      <c r="J32" s="100"/>
      <c r="K32" s="7"/>
      <c r="L32" s="100"/>
      <c r="M32" s="7"/>
      <c r="N32" s="748"/>
      <c r="O32" s="749"/>
      <c r="P32" s="963"/>
    </row>
    <row r="33" spans="1:18" ht="12" customHeight="1">
      <c r="A33" s="101" t="s">
        <v>292</v>
      </c>
      <c r="B33" s="108"/>
      <c r="C33" s="102"/>
      <c r="D33" s="100"/>
      <c r="E33" s="7">
        <v>0</v>
      </c>
      <c r="F33" s="100"/>
      <c r="G33" s="7">
        <v>0</v>
      </c>
      <c r="H33" s="100"/>
      <c r="I33" s="7">
        <f>K33-G33</f>
        <v>0</v>
      </c>
      <c r="J33" s="100"/>
      <c r="K33" s="7">
        <v>0</v>
      </c>
      <c r="L33" s="100"/>
      <c r="M33" s="7">
        <v>186048</v>
      </c>
      <c r="N33" s="748"/>
      <c r="O33" s="749">
        <v>0</v>
      </c>
    </row>
    <row r="34" spans="1:18" ht="12" customHeight="1">
      <c r="A34" s="101" t="s">
        <v>259</v>
      </c>
      <c r="B34" s="108"/>
      <c r="C34" s="102"/>
      <c r="D34" s="100"/>
      <c r="E34" s="7">
        <v>0</v>
      </c>
      <c r="F34" s="100"/>
      <c r="G34" s="7">
        <v>5000</v>
      </c>
      <c r="H34" s="100"/>
      <c r="I34" s="7">
        <f>K34-G34</f>
        <v>0</v>
      </c>
      <c r="J34" s="100"/>
      <c r="K34" s="7">
        <v>5000</v>
      </c>
      <c r="L34" s="100"/>
      <c r="M34" s="7">
        <v>0</v>
      </c>
      <c r="N34" s="748"/>
      <c r="O34" s="749">
        <v>0</v>
      </c>
      <c r="Q34" s="963"/>
    </row>
    <row r="35" spans="1:18" ht="12" customHeight="1">
      <c r="A35" s="101" t="s">
        <v>764</v>
      </c>
      <c r="B35" s="108"/>
      <c r="C35" s="102"/>
      <c r="D35" s="100"/>
      <c r="E35" s="7">
        <v>0</v>
      </c>
      <c r="F35" s="100"/>
      <c r="G35" s="7">
        <v>0</v>
      </c>
      <c r="H35" s="100"/>
      <c r="I35" s="7">
        <f>K35-G35</f>
        <v>164543</v>
      </c>
      <c r="J35" s="100"/>
      <c r="K35" s="7">
        <v>164543</v>
      </c>
      <c r="L35" s="100"/>
      <c r="M35" s="7">
        <v>0</v>
      </c>
      <c r="N35" s="748"/>
      <c r="O35" s="749">
        <v>0</v>
      </c>
      <c r="Q35" s="963"/>
    </row>
    <row r="36" spans="1:18" ht="11.25" customHeight="1">
      <c r="A36" s="101" t="s">
        <v>260</v>
      </c>
      <c r="B36" s="108"/>
      <c r="C36" s="102"/>
      <c r="D36" s="100"/>
      <c r="E36" s="7">
        <v>50000</v>
      </c>
      <c r="F36" s="100"/>
      <c r="G36" s="7">
        <v>0</v>
      </c>
      <c r="H36" s="104"/>
      <c r="I36" s="105">
        <f>K36-G36</f>
        <v>75000</v>
      </c>
      <c r="J36" s="104"/>
      <c r="K36" s="105">
        <v>75000</v>
      </c>
      <c r="L36" s="104"/>
      <c r="M36" s="105">
        <v>80000</v>
      </c>
      <c r="N36" s="748"/>
      <c r="O36" s="749">
        <v>0</v>
      </c>
      <c r="Q36" s="963"/>
    </row>
    <row r="37" spans="1:18" ht="12" customHeight="1">
      <c r="A37" s="1325" t="s">
        <v>14</v>
      </c>
      <c r="B37" s="1340"/>
      <c r="C37" s="102"/>
      <c r="D37" s="109" t="s">
        <v>15</v>
      </c>
      <c r="E37" s="110">
        <f>SUM(E16:E36)</f>
        <v>3984865.0799999991</v>
      </c>
      <c r="F37" s="109" t="s">
        <v>15</v>
      </c>
      <c r="G37" s="110">
        <f>SUM(G16:G36)</f>
        <v>2678344.89</v>
      </c>
      <c r="H37" s="109" t="s">
        <v>15</v>
      </c>
      <c r="I37" s="110">
        <f>SUM(I16:I36)</f>
        <v>3256858.11</v>
      </c>
      <c r="J37" s="109" t="s">
        <v>15</v>
      </c>
      <c r="K37" s="110">
        <f>SUM(K16:K36)</f>
        <v>5935203</v>
      </c>
      <c r="L37" s="109" t="s">
        <v>15</v>
      </c>
      <c r="M37" s="110">
        <f>SUM(M16:M36)</f>
        <v>6442071</v>
      </c>
      <c r="N37" s="109" t="s">
        <v>15</v>
      </c>
      <c r="O37" s="110">
        <f>SUM(O16:O36)</f>
        <v>0</v>
      </c>
      <c r="Q37" s="963"/>
    </row>
    <row r="38" spans="1:18" ht="12" customHeight="1">
      <c r="A38" s="97" t="s">
        <v>282</v>
      </c>
      <c r="B38" s="98"/>
      <c r="C38" s="102"/>
      <c r="D38" s="116"/>
      <c r="E38" s="117"/>
      <c r="F38" s="116"/>
      <c r="G38" s="117"/>
      <c r="H38" s="116"/>
      <c r="I38" s="117"/>
      <c r="J38" s="116"/>
      <c r="K38" s="117"/>
      <c r="L38" s="116"/>
      <c r="M38" s="117"/>
      <c r="N38" s="116"/>
      <c r="O38" s="117"/>
    </row>
    <row r="39" spans="1:18" ht="11.25" customHeight="1">
      <c r="A39" s="101" t="s">
        <v>41</v>
      </c>
      <c r="B39" s="98"/>
      <c r="C39" s="102" t="s">
        <v>126</v>
      </c>
      <c r="D39" s="111" t="s">
        <v>15</v>
      </c>
      <c r="E39" s="7">
        <v>77125</v>
      </c>
      <c r="F39" s="111" t="s">
        <v>15</v>
      </c>
      <c r="G39" s="7">
        <v>82881</v>
      </c>
      <c r="H39" s="111" t="s">
        <v>15</v>
      </c>
      <c r="I39" s="7">
        <f>K39-G39</f>
        <v>102119</v>
      </c>
      <c r="J39" s="111" t="s">
        <v>15</v>
      </c>
      <c r="K39" s="7">
        <v>185000</v>
      </c>
      <c r="L39" s="100" t="s">
        <v>15</v>
      </c>
      <c r="M39" s="7">
        <v>185000</v>
      </c>
      <c r="N39" s="104" t="s">
        <v>15</v>
      </c>
      <c r="O39" s="105">
        <f>M39-K39</f>
        <v>0</v>
      </c>
      <c r="P39" s="963">
        <f>O39-K39</f>
        <v>-185000</v>
      </c>
      <c r="Q39" s="963">
        <f>K39*0.1</f>
        <v>18500</v>
      </c>
      <c r="R39" s="963">
        <f>K39+Q39</f>
        <v>203500</v>
      </c>
    </row>
    <row r="40" spans="1:18" ht="12" customHeight="1">
      <c r="A40" s="101" t="s">
        <v>42</v>
      </c>
      <c r="B40" s="98"/>
      <c r="C40" s="102" t="s">
        <v>127</v>
      </c>
      <c r="D40" s="111"/>
      <c r="E40" s="7">
        <v>10400</v>
      </c>
      <c r="F40" s="111"/>
      <c r="G40" s="7">
        <v>29200</v>
      </c>
      <c r="H40" s="111"/>
      <c r="I40" s="7">
        <f t="shared" ref="I40:I57" si="1">K40-G40</f>
        <v>104800</v>
      </c>
      <c r="J40" s="111"/>
      <c r="K40" s="7">
        <v>134000</v>
      </c>
      <c r="L40" s="100"/>
      <c r="M40" s="7">
        <v>134000</v>
      </c>
      <c r="N40" s="748"/>
      <c r="O40" s="105">
        <f t="shared" ref="O40:O57" si="2">M40-K40</f>
        <v>0</v>
      </c>
      <c r="P40" s="963">
        <f t="shared" ref="P40:P57" si="3">O40-K40</f>
        <v>-134000</v>
      </c>
      <c r="Q40" s="963">
        <f t="shared" ref="Q40:Q57" si="4">K40*0.1</f>
        <v>13400</v>
      </c>
      <c r="R40" s="963">
        <f t="shared" ref="R40:R57" si="5">K40+Q40</f>
        <v>147400</v>
      </c>
    </row>
    <row r="41" spans="1:18" ht="12" customHeight="1">
      <c r="A41" s="101" t="s">
        <v>28</v>
      </c>
      <c r="B41" s="98"/>
      <c r="C41" s="102" t="s">
        <v>128</v>
      </c>
      <c r="D41" s="111"/>
      <c r="E41" s="7">
        <v>268114</v>
      </c>
      <c r="F41" s="111"/>
      <c r="G41" s="7">
        <v>73526</v>
      </c>
      <c r="H41" s="111"/>
      <c r="I41" s="7">
        <f>K41-G41</f>
        <v>516474</v>
      </c>
      <c r="J41" s="111"/>
      <c r="K41" s="7">
        <v>590000</v>
      </c>
      <c r="L41" s="100"/>
      <c r="M41" s="7">
        <v>400000</v>
      </c>
      <c r="N41" s="748"/>
      <c r="O41" s="105">
        <f t="shared" si="2"/>
        <v>-190000</v>
      </c>
      <c r="P41" s="963">
        <f t="shared" si="3"/>
        <v>-780000</v>
      </c>
      <c r="Q41" s="963">
        <f t="shared" si="4"/>
        <v>59000</v>
      </c>
      <c r="R41" s="963">
        <f t="shared" si="5"/>
        <v>649000</v>
      </c>
    </row>
    <row r="42" spans="1:18" ht="12" customHeight="1">
      <c r="A42" s="101" t="s">
        <v>130</v>
      </c>
      <c r="B42" s="98"/>
      <c r="C42" s="102" t="s">
        <v>129</v>
      </c>
      <c r="D42" s="111"/>
      <c r="E42" s="7">
        <v>183000</v>
      </c>
      <c r="F42" s="111"/>
      <c r="G42" s="7">
        <v>121060.93</v>
      </c>
      <c r="H42" s="111"/>
      <c r="I42" s="7">
        <f>K42-G42</f>
        <v>378939.07</v>
      </c>
      <c r="J42" s="111"/>
      <c r="K42" s="7">
        <v>500000</v>
      </c>
      <c r="L42" s="100"/>
      <c r="M42" s="7">
        <v>500000</v>
      </c>
      <c r="N42" s="748"/>
      <c r="O42" s="105">
        <f t="shared" si="2"/>
        <v>0</v>
      </c>
      <c r="P42" s="963">
        <f t="shared" si="3"/>
        <v>-500000</v>
      </c>
      <c r="Q42" s="963">
        <f t="shared" si="4"/>
        <v>50000</v>
      </c>
      <c r="R42" s="963">
        <f t="shared" si="5"/>
        <v>550000</v>
      </c>
    </row>
    <row r="43" spans="1:18" ht="12" customHeight="1">
      <c r="A43" s="101" t="s">
        <v>497</v>
      </c>
      <c r="B43" s="98"/>
      <c r="C43" s="102" t="s">
        <v>174</v>
      </c>
      <c r="D43" s="111"/>
      <c r="E43" s="7">
        <v>179668.48000000001</v>
      </c>
      <c r="F43" s="111"/>
      <c r="G43" s="7">
        <v>91190.22</v>
      </c>
      <c r="H43" s="111"/>
      <c r="I43" s="7">
        <f>K43-G43</f>
        <v>318809.78000000003</v>
      </c>
      <c r="J43" s="111"/>
      <c r="K43" s="7">
        <v>410000</v>
      </c>
      <c r="L43" s="100"/>
      <c r="M43" s="7">
        <v>350000</v>
      </c>
      <c r="N43" s="748"/>
      <c r="O43" s="105">
        <f t="shared" si="2"/>
        <v>-60000</v>
      </c>
      <c r="P43" s="963">
        <f t="shared" si="3"/>
        <v>-470000</v>
      </c>
      <c r="Q43" s="963">
        <f>O43*0.1</f>
        <v>-6000</v>
      </c>
    </row>
    <row r="44" spans="1:18" ht="12" customHeight="1">
      <c r="A44" s="101" t="s">
        <v>29</v>
      </c>
      <c r="B44" s="98"/>
      <c r="C44" s="102" t="s">
        <v>166</v>
      </c>
      <c r="D44" s="111"/>
      <c r="E44" s="7">
        <v>613368.25</v>
      </c>
      <c r="F44" s="111"/>
      <c r="G44" s="7">
        <v>226279.35</v>
      </c>
      <c r="H44" s="111"/>
      <c r="I44" s="7">
        <f>K44-G44</f>
        <v>773720.65</v>
      </c>
      <c r="J44" s="111"/>
      <c r="K44" s="7">
        <v>1000000</v>
      </c>
      <c r="L44" s="100"/>
      <c r="M44" s="7">
        <v>1000000</v>
      </c>
      <c r="N44" s="748"/>
      <c r="O44" s="105">
        <f t="shared" si="2"/>
        <v>0</v>
      </c>
      <c r="P44" s="963">
        <f t="shared" si="3"/>
        <v>-1000000</v>
      </c>
      <c r="Q44" s="963">
        <f t="shared" si="4"/>
        <v>100000</v>
      </c>
      <c r="R44" s="963">
        <f t="shared" si="5"/>
        <v>1100000</v>
      </c>
    </row>
    <row r="45" spans="1:18" ht="12.75" customHeight="1">
      <c r="A45" s="101" t="s">
        <v>46</v>
      </c>
      <c r="B45" s="98"/>
      <c r="C45" s="102" t="s">
        <v>167</v>
      </c>
      <c r="D45" s="111"/>
      <c r="E45" s="7">
        <v>11669953.960000001</v>
      </c>
      <c r="F45" s="111"/>
      <c r="G45" s="7">
        <v>6000000</v>
      </c>
      <c r="H45" s="111"/>
      <c r="I45" s="7">
        <f t="shared" si="1"/>
        <v>6000000</v>
      </c>
      <c r="J45" s="111"/>
      <c r="K45" s="7">
        <v>12000000</v>
      </c>
      <c r="L45" s="100"/>
      <c r="M45" s="7">
        <v>12000000</v>
      </c>
      <c r="N45" s="748"/>
      <c r="O45" s="105">
        <f t="shared" si="2"/>
        <v>0</v>
      </c>
      <c r="P45" s="963">
        <f t="shared" si="3"/>
        <v>-12000000</v>
      </c>
      <c r="Q45" s="963">
        <f t="shared" si="4"/>
        <v>1200000</v>
      </c>
      <c r="R45" s="963">
        <f t="shared" si="5"/>
        <v>13200000</v>
      </c>
    </row>
    <row r="46" spans="1:18" ht="12" customHeight="1">
      <c r="A46" s="101" t="s">
        <v>163</v>
      </c>
      <c r="B46" s="98"/>
      <c r="C46" s="102" t="s">
        <v>133</v>
      </c>
      <c r="D46" s="111"/>
      <c r="E46" s="7">
        <v>26268.9</v>
      </c>
      <c r="F46" s="111"/>
      <c r="G46" s="7">
        <v>15000</v>
      </c>
      <c r="H46" s="111"/>
      <c r="I46" s="7">
        <f t="shared" si="1"/>
        <v>25000</v>
      </c>
      <c r="J46" s="111"/>
      <c r="K46" s="7">
        <v>40000</v>
      </c>
      <c r="L46" s="100"/>
      <c r="M46" s="7">
        <v>40000</v>
      </c>
      <c r="N46" s="748"/>
      <c r="O46" s="105">
        <f t="shared" si="2"/>
        <v>0</v>
      </c>
      <c r="P46" s="963">
        <f t="shared" si="3"/>
        <v>-40000</v>
      </c>
      <c r="Q46" s="963">
        <f t="shared" si="4"/>
        <v>4000</v>
      </c>
      <c r="R46" s="963">
        <f t="shared" si="5"/>
        <v>44000</v>
      </c>
    </row>
    <row r="47" spans="1:18" ht="12" customHeight="1">
      <c r="A47" s="101" t="s">
        <v>135</v>
      </c>
      <c r="B47" s="98"/>
      <c r="C47" s="102" t="s">
        <v>134</v>
      </c>
      <c r="D47" s="100"/>
      <c r="E47" s="7">
        <v>35199.61</v>
      </c>
      <c r="F47" s="100"/>
      <c r="G47" s="7">
        <v>16926.41</v>
      </c>
      <c r="H47" s="100"/>
      <c r="I47" s="7">
        <f t="shared" si="1"/>
        <v>19073.59</v>
      </c>
      <c r="J47" s="100"/>
      <c r="K47" s="7">
        <v>36000</v>
      </c>
      <c r="L47" s="100"/>
      <c r="M47" s="7">
        <v>36000</v>
      </c>
      <c r="N47" s="748"/>
      <c r="O47" s="105">
        <f t="shared" si="2"/>
        <v>0</v>
      </c>
      <c r="P47" s="963">
        <f t="shared" si="3"/>
        <v>-36000</v>
      </c>
      <c r="Q47" s="963">
        <f t="shared" si="4"/>
        <v>3600</v>
      </c>
      <c r="R47" s="963">
        <f t="shared" si="5"/>
        <v>39600</v>
      </c>
    </row>
    <row r="48" spans="1:18" ht="12" customHeight="1">
      <c r="A48" s="101" t="s">
        <v>142</v>
      </c>
      <c r="B48" s="98"/>
      <c r="C48" s="118" t="s">
        <v>141</v>
      </c>
      <c r="D48" s="111"/>
      <c r="E48" s="7">
        <v>33462</v>
      </c>
      <c r="F48" s="111"/>
      <c r="G48" s="7">
        <v>42000</v>
      </c>
      <c r="H48" s="111"/>
      <c r="I48" s="7">
        <f t="shared" si="1"/>
        <v>78000</v>
      </c>
      <c r="J48" s="111"/>
      <c r="K48" s="7">
        <v>120000</v>
      </c>
      <c r="L48" s="100"/>
      <c r="M48" s="7">
        <v>100000</v>
      </c>
      <c r="N48" s="748"/>
      <c r="O48" s="105">
        <f t="shared" si="2"/>
        <v>-20000</v>
      </c>
      <c r="P48" s="963">
        <f t="shared" si="3"/>
        <v>-140000</v>
      </c>
      <c r="Q48" s="963">
        <f t="shared" si="4"/>
        <v>12000</v>
      </c>
      <c r="R48" s="963">
        <f t="shared" si="5"/>
        <v>132000</v>
      </c>
    </row>
    <row r="49" spans="1:18" ht="12" customHeight="1">
      <c r="A49" s="101" t="s">
        <v>145</v>
      </c>
      <c r="B49" s="98"/>
      <c r="C49" s="102" t="s">
        <v>144</v>
      </c>
      <c r="D49" s="100"/>
      <c r="E49" s="7">
        <v>209500</v>
      </c>
      <c r="F49" s="111"/>
      <c r="G49" s="7">
        <v>46810</v>
      </c>
      <c r="H49" s="111"/>
      <c r="I49" s="7">
        <f t="shared" si="1"/>
        <v>403190</v>
      </c>
      <c r="J49" s="111"/>
      <c r="K49" s="7">
        <v>450000</v>
      </c>
      <c r="L49" s="100"/>
      <c r="M49" s="7">
        <v>380000</v>
      </c>
      <c r="N49" s="748"/>
      <c r="O49" s="105">
        <f t="shared" si="2"/>
        <v>-70000</v>
      </c>
      <c r="P49" s="963">
        <f t="shared" si="3"/>
        <v>-520000</v>
      </c>
      <c r="Q49" s="963">
        <f t="shared" si="4"/>
        <v>45000</v>
      </c>
      <c r="R49" s="963">
        <f t="shared" si="5"/>
        <v>495000</v>
      </c>
    </row>
    <row r="50" spans="1:18" ht="12" customHeight="1">
      <c r="A50" s="101" t="s">
        <v>44</v>
      </c>
      <c r="B50" s="98"/>
      <c r="C50" s="102" t="s">
        <v>168</v>
      </c>
      <c r="D50" s="100"/>
      <c r="E50" s="7">
        <v>1232456.8799999999</v>
      </c>
      <c r="F50" s="111"/>
      <c r="G50" s="7">
        <v>238646.42</v>
      </c>
      <c r="H50" s="111"/>
      <c r="I50" s="7">
        <f t="shared" si="1"/>
        <v>1661353.58</v>
      </c>
      <c r="J50" s="111"/>
      <c r="K50" s="7">
        <v>1900000</v>
      </c>
      <c r="L50" s="100"/>
      <c r="M50" s="7">
        <v>1900000</v>
      </c>
      <c r="N50" s="748"/>
      <c r="O50" s="105">
        <f t="shared" si="2"/>
        <v>0</v>
      </c>
      <c r="P50" s="963">
        <f t="shared" si="3"/>
        <v>-1900000</v>
      </c>
      <c r="Q50" s="963">
        <f t="shared" si="4"/>
        <v>190000</v>
      </c>
      <c r="R50" s="963">
        <f t="shared" si="5"/>
        <v>2090000</v>
      </c>
    </row>
    <row r="51" spans="1:18" ht="12" customHeight="1">
      <c r="A51" s="101" t="s">
        <v>33</v>
      </c>
      <c r="B51" s="119"/>
      <c r="C51" s="102" t="s">
        <v>148</v>
      </c>
      <c r="D51" s="100"/>
      <c r="E51" s="7"/>
      <c r="F51" s="111"/>
      <c r="G51" s="7"/>
      <c r="H51" s="111"/>
      <c r="I51" s="7"/>
      <c r="J51" s="111"/>
      <c r="K51" s="7"/>
      <c r="L51" s="100"/>
      <c r="M51" s="7"/>
      <c r="N51" s="748"/>
      <c r="O51" s="749"/>
      <c r="P51" s="963">
        <f t="shared" si="3"/>
        <v>0</v>
      </c>
      <c r="Q51" s="963">
        <f t="shared" si="4"/>
        <v>0</v>
      </c>
      <c r="R51" s="963">
        <f t="shared" si="5"/>
        <v>0</v>
      </c>
    </row>
    <row r="52" spans="1:18" ht="12" customHeight="1">
      <c r="A52" s="101"/>
      <c r="B52" s="7" t="s">
        <v>342</v>
      </c>
      <c r="C52" s="102"/>
      <c r="D52" s="100"/>
      <c r="E52" s="7">
        <v>2870395.29</v>
      </c>
      <c r="F52" s="111"/>
      <c r="G52" s="7">
        <v>1332638.69</v>
      </c>
      <c r="H52" s="111"/>
      <c r="I52" s="7">
        <f t="shared" si="1"/>
        <v>1617361.31</v>
      </c>
      <c r="J52" s="111"/>
      <c r="K52" s="7">
        <v>2950000</v>
      </c>
      <c r="L52" s="100"/>
      <c r="M52" s="7">
        <v>2980000</v>
      </c>
      <c r="N52" s="748"/>
      <c r="O52" s="105">
        <f>M52-K52</f>
        <v>30000</v>
      </c>
      <c r="P52" s="963">
        <f t="shared" si="3"/>
        <v>-2920000</v>
      </c>
      <c r="Q52" s="963"/>
      <c r="R52" s="961" t="s">
        <v>754</v>
      </c>
    </row>
    <row r="53" spans="1:18" ht="12" customHeight="1">
      <c r="A53" s="101"/>
      <c r="B53" s="7" t="s">
        <v>355</v>
      </c>
      <c r="C53" s="102"/>
      <c r="D53" s="100"/>
      <c r="E53" s="7">
        <v>13599.3</v>
      </c>
      <c r="F53" s="111"/>
      <c r="G53" s="7">
        <v>0</v>
      </c>
      <c r="H53" s="111"/>
      <c r="I53" s="7">
        <f t="shared" si="1"/>
        <v>68000</v>
      </c>
      <c r="J53" s="111"/>
      <c r="K53" s="7">
        <v>68000</v>
      </c>
      <c r="L53" s="100"/>
      <c r="M53" s="7">
        <v>68000</v>
      </c>
      <c r="N53" s="748"/>
      <c r="O53" s="105">
        <f t="shared" si="2"/>
        <v>0</v>
      </c>
      <c r="P53" s="963">
        <f t="shared" si="3"/>
        <v>-68000</v>
      </c>
      <c r="Q53" s="963">
        <f t="shared" si="4"/>
        <v>6800</v>
      </c>
      <c r="R53" s="963">
        <f t="shared" si="5"/>
        <v>74800</v>
      </c>
    </row>
    <row r="54" spans="1:18" ht="12" customHeight="1">
      <c r="A54" s="101"/>
      <c r="B54" s="7" t="s">
        <v>316</v>
      </c>
      <c r="C54" s="102"/>
      <c r="D54" s="100"/>
      <c r="E54" s="7">
        <v>89376.35</v>
      </c>
      <c r="F54" s="111"/>
      <c r="G54" s="7">
        <v>2674.44</v>
      </c>
      <c r="H54" s="111"/>
      <c r="I54" s="7">
        <f t="shared" si="1"/>
        <v>146325.56</v>
      </c>
      <c r="J54" s="111"/>
      <c r="K54" s="7">
        <v>149000</v>
      </c>
      <c r="L54" s="100"/>
      <c r="M54" s="7">
        <v>120000</v>
      </c>
      <c r="N54" s="748"/>
      <c r="O54" s="105">
        <f t="shared" si="2"/>
        <v>-29000</v>
      </c>
      <c r="P54" s="963">
        <f t="shared" si="3"/>
        <v>-178000</v>
      </c>
      <c r="Q54" s="963">
        <f t="shared" si="4"/>
        <v>14900</v>
      </c>
      <c r="R54" s="963">
        <f t="shared" si="5"/>
        <v>163900</v>
      </c>
    </row>
    <row r="55" spans="1:18" ht="12" customHeight="1">
      <c r="A55" s="101"/>
      <c r="B55" s="7" t="s">
        <v>348</v>
      </c>
      <c r="C55" s="102"/>
      <c r="D55" s="100"/>
      <c r="E55" s="7">
        <v>89532.1</v>
      </c>
      <c r="F55" s="111"/>
      <c r="G55" s="7">
        <v>44491</v>
      </c>
      <c r="H55" s="111"/>
      <c r="I55" s="7">
        <f t="shared" si="1"/>
        <v>105509</v>
      </c>
      <c r="J55" s="111"/>
      <c r="K55" s="7">
        <v>150000</v>
      </c>
      <c r="L55" s="100"/>
      <c r="M55" s="7">
        <v>120000</v>
      </c>
      <c r="N55" s="748"/>
      <c r="O55" s="105">
        <f t="shared" si="2"/>
        <v>-30000</v>
      </c>
      <c r="P55" s="963">
        <f t="shared" si="3"/>
        <v>-180000</v>
      </c>
      <c r="Q55" s="963">
        <f t="shared" si="4"/>
        <v>15000</v>
      </c>
      <c r="R55" s="963">
        <f t="shared" si="5"/>
        <v>165000</v>
      </c>
    </row>
    <row r="56" spans="1:18" ht="11.25" customHeight="1">
      <c r="A56" s="101"/>
      <c r="B56" s="7" t="s">
        <v>1117</v>
      </c>
      <c r="C56" s="102"/>
      <c r="D56" s="100"/>
      <c r="E56" s="7">
        <v>0</v>
      </c>
      <c r="F56" s="111"/>
      <c r="G56" s="7">
        <v>0</v>
      </c>
      <c r="H56" s="111"/>
      <c r="I56" s="7">
        <f t="shared" ref="I56" si="6">K56-G56</f>
        <v>0</v>
      </c>
      <c r="J56" s="111"/>
      <c r="K56" s="7">
        <v>0</v>
      </c>
      <c r="L56" s="100"/>
      <c r="M56" s="7">
        <v>0</v>
      </c>
      <c r="N56" s="748"/>
      <c r="O56" s="105">
        <f t="shared" si="2"/>
        <v>0</v>
      </c>
      <c r="P56" s="963">
        <f t="shared" ref="P56" si="7">O56-K56</f>
        <v>0</v>
      </c>
      <c r="Q56" s="963">
        <f t="shared" ref="Q56" si="8">K56*0.1</f>
        <v>0</v>
      </c>
      <c r="R56" s="963">
        <f t="shared" ref="R56" si="9">K56+Q56</f>
        <v>0</v>
      </c>
    </row>
    <row r="57" spans="1:18" ht="11.25" customHeight="1">
      <c r="A57" s="101"/>
      <c r="B57" s="7" t="s">
        <v>743</v>
      </c>
      <c r="C57" s="102"/>
      <c r="D57" s="100"/>
      <c r="E57" s="7">
        <v>27452.15</v>
      </c>
      <c r="F57" s="111"/>
      <c r="G57" s="7">
        <v>28953.45</v>
      </c>
      <c r="H57" s="111"/>
      <c r="I57" s="7">
        <f t="shared" si="1"/>
        <v>71046.55</v>
      </c>
      <c r="J57" s="111"/>
      <c r="K57" s="105">
        <v>100000</v>
      </c>
      <c r="L57" s="104"/>
      <c r="M57" s="105">
        <v>75000</v>
      </c>
      <c r="N57" s="748"/>
      <c r="O57" s="105">
        <f t="shared" si="2"/>
        <v>-25000</v>
      </c>
      <c r="P57" s="963">
        <f t="shared" si="3"/>
        <v>-125000</v>
      </c>
      <c r="Q57" s="963">
        <f t="shared" si="4"/>
        <v>10000</v>
      </c>
      <c r="R57" s="963">
        <f t="shared" si="5"/>
        <v>110000</v>
      </c>
    </row>
    <row r="58" spans="1:18" ht="12" customHeight="1">
      <c r="A58" s="1325" t="s">
        <v>13</v>
      </c>
      <c r="B58" s="1326"/>
      <c r="C58" s="102"/>
      <c r="D58" s="109" t="s">
        <v>15</v>
      </c>
      <c r="E58" s="110">
        <f>SUM(E39:E57)</f>
        <v>17628872.270000003</v>
      </c>
      <c r="F58" s="109" t="s">
        <v>15</v>
      </c>
      <c r="G58" s="110">
        <f>SUM(G39:G57)</f>
        <v>8392277.9100000001</v>
      </c>
      <c r="H58" s="109" t="s">
        <v>15</v>
      </c>
      <c r="I58" s="110">
        <f>SUM(I39:I57)</f>
        <v>12389722.090000002</v>
      </c>
      <c r="J58" s="109" t="s">
        <v>15</v>
      </c>
      <c r="K58" s="110">
        <f>SUM(K39:K57)</f>
        <v>20782000</v>
      </c>
      <c r="L58" s="109" t="s">
        <v>15</v>
      </c>
      <c r="M58" s="110">
        <f>SUM(M39:M57)</f>
        <v>20388000</v>
      </c>
      <c r="N58" s="109" t="s">
        <v>15</v>
      </c>
      <c r="O58" s="110">
        <f>SUM(O39:O57)</f>
        <v>-394000</v>
      </c>
      <c r="P58" s="963">
        <f>SUM(P39:P57)</f>
        <v>-21176000</v>
      </c>
    </row>
    <row r="59" spans="1:18" ht="12" customHeight="1">
      <c r="A59" s="97" t="s">
        <v>689</v>
      </c>
      <c r="B59" s="329"/>
      <c r="C59" s="102"/>
      <c r="D59" s="122"/>
      <c r="E59" s="123"/>
      <c r="F59" s="122"/>
      <c r="G59" s="123"/>
      <c r="H59" s="122"/>
      <c r="I59" s="123"/>
      <c r="J59" s="122"/>
      <c r="K59" s="123"/>
      <c r="L59" s="122"/>
      <c r="M59" s="123"/>
      <c r="N59" s="122"/>
      <c r="O59" s="123">
        <f>K58-K44-K45-K50-K52</f>
        <v>2932000</v>
      </c>
      <c r="P59" s="963"/>
    </row>
    <row r="60" spans="1:18" ht="12" customHeight="1">
      <c r="A60" s="124" t="s">
        <v>51</v>
      </c>
      <c r="B60" s="119"/>
      <c r="C60" s="102" t="s">
        <v>149</v>
      </c>
      <c r="D60" s="100"/>
      <c r="E60" s="7"/>
      <c r="F60" s="100"/>
      <c r="G60" s="184"/>
      <c r="H60" s="100"/>
      <c r="I60" s="7"/>
      <c r="J60" s="100"/>
      <c r="K60" s="184"/>
      <c r="L60" s="100"/>
      <c r="M60" s="184"/>
      <c r="N60" s="100"/>
      <c r="O60" s="184">
        <f>O59*0.1447</f>
        <v>424260.39999999997</v>
      </c>
    </row>
    <row r="61" spans="1:18" ht="12" customHeight="1">
      <c r="A61" s="124" t="s">
        <v>391</v>
      </c>
      <c r="B61" s="119"/>
      <c r="C61" s="102"/>
      <c r="D61" s="100" t="s">
        <v>15</v>
      </c>
      <c r="E61" s="7">
        <v>0</v>
      </c>
      <c r="F61" s="100" t="s">
        <v>15</v>
      </c>
      <c r="G61" s="184"/>
      <c r="H61" s="100" t="s">
        <v>15</v>
      </c>
      <c r="I61" s="7">
        <f>K61-G61</f>
        <v>0</v>
      </c>
      <c r="J61" s="100" t="s">
        <v>15</v>
      </c>
      <c r="K61" s="184">
        <v>0</v>
      </c>
      <c r="L61" s="100" t="s">
        <v>15</v>
      </c>
      <c r="M61" s="184"/>
      <c r="N61" s="104" t="s">
        <v>15</v>
      </c>
      <c r="O61" s="176">
        <f>O59-O60</f>
        <v>2507739.6</v>
      </c>
    </row>
    <row r="62" spans="1:18" ht="12" customHeight="1">
      <c r="A62" s="124" t="s">
        <v>1011</v>
      </c>
      <c r="B62" s="338"/>
      <c r="C62" s="102"/>
      <c r="D62" s="100"/>
      <c r="E62" s="7">
        <v>0</v>
      </c>
      <c r="F62" s="100"/>
      <c r="G62" s="184">
        <v>0</v>
      </c>
      <c r="H62" s="100"/>
      <c r="I62" s="7">
        <f t="shared" ref="I62" si="10">K62-G62</f>
        <v>25000</v>
      </c>
      <c r="J62" s="100"/>
      <c r="K62" s="184">
        <v>25000</v>
      </c>
      <c r="L62" s="100"/>
      <c r="M62" s="184">
        <v>0</v>
      </c>
      <c r="N62" s="748"/>
      <c r="O62" s="750">
        <v>0</v>
      </c>
    </row>
    <row r="63" spans="1:18" ht="12" customHeight="1">
      <c r="A63" s="124" t="s">
        <v>152</v>
      </c>
      <c r="B63" s="119"/>
      <c r="C63" s="102" t="s">
        <v>150</v>
      </c>
      <c r="D63" s="100"/>
      <c r="E63" s="7"/>
      <c r="F63" s="100"/>
      <c r="G63" s="7"/>
      <c r="H63" s="100"/>
      <c r="I63" s="7"/>
      <c r="J63" s="100"/>
      <c r="K63" s="7"/>
      <c r="L63" s="100"/>
      <c r="M63" s="7"/>
      <c r="N63" s="748"/>
      <c r="O63" s="749"/>
    </row>
    <row r="64" spans="1:18" ht="12" customHeight="1">
      <c r="A64" s="124" t="s">
        <v>1013</v>
      </c>
      <c r="B64" s="772"/>
      <c r="C64" s="102"/>
      <c r="D64" s="100"/>
      <c r="E64" s="7">
        <v>0</v>
      </c>
      <c r="F64" s="100"/>
      <c r="G64" s="7">
        <v>0</v>
      </c>
      <c r="H64" s="100"/>
      <c r="I64" s="7">
        <f t="shared" ref="I64" si="11">K64-G64</f>
        <v>50000</v>
      </c>
      <c r="J64" s="100"/>
      <c r="K64" s="7">
        <v>50000</v>
      </c>
      <c r="L64" s="100"/>
      <c r="M64" s="7">
        <v>0</v>
      </c>
      <c r="N64" s="748"/>
      <c r="O64" s="749">
        <v>0</v>
      </c>
    </row>
    <row r="65" spans="1:19" ht="10.5" customHeight="1">
      <c r="A65" s="124" t="s">
        <v>1147</v>
      </c>
      <c r="B65" s="772"/>
      <c r="C65" s="102" t="s">
        <v>151</v>
      </c>
      <c r="D65" s="100"/>
      <c r="E65" s="7"/>
      <c r="F65" s="100"/>
      <c r="G65" s="7"/>
      <c r="H65" s="100"/>
      <c r="I65" s="7"/>
      <c r="J65" s="100"/>
      <c r="K65" s="7"/>
      <c r="L65" s="100"/>
      <c r="M65" s="7"/>
      <c r="N65" s="748"/>
      <c r="O65" s="749"/>
    </row>
    <row r="66" spans="1:19" ht="13.5" customHeight="1">
      <c r="A66" s="124" t="s">
        <v>331</v>
      </c>
      <c r="B66" s="854"/>
      <c r="C66" s="102"/>
      <c r="D66" s="100"/>
      <c r="E66" s="7">
        <v>0</v>
      </c>
      <c r="F66" s="100"/>
      <c r="G66" s="184">
        <v>0</v>
      </c>
      <c r="H66" s="100"/>
      <c r="I66" s="7">
        <f t="shared" ref="I66" si="12">K66-G66</f>
        <v>100000</v>
      </c>
      <c r="J66" s="100"/>
      <c r="K66" s="184">
        <v>100000</v>
      </c>
      <c r="L66" s="100"/>
      <c r="M66" s="184">
        <v>0</v>
      </c>
      <c r="N66" s="748"/>
      <c r="O66" s="750">
        <v>0</v>
      </c>
    </row>
    <row r="67" spans="1:19" ht="12" customHeight="1">
      <c r="A67" s="124" t="s">
        <v>319</v>
      </c>
      <c r="B67" s="854"/>
      <c r="C67" s="102" t="s">
        <v>320</v>
      </c>
      <c r="D67" s="100"/>
      <c r="E67" s="7"/>
      <c r="F67" s="100"/>
      <c r="G67" s="7"/>
      <c r="H67" s="100"/>
      <c r="I67" s="7"/>
      <c r="J67" s="100"/>
      <c r="K67" s="7"/>
      <c r="L67" s="100"/>
      <c r="M67" s="7"/>
      <c r="N67" s="100"/>
      <c r="O67" s="7"/>
    </row>
    <row r="68" spans="1:19" ht="12" customHeight="1">
      <c r="A68" s="162" t="s">
        <v>747</v>
      </c>
      <c r="B68" s="853"/>
      <c r="C68" s="113"/>
      <c r="D68" s="104"/>
      <c r="E68" s="105">
        <v>0</v>
      </c>
      <c r="F68" s="104"/>
      <c r="G68" s="105">
        <v>0</v>
      </c>
      <c r="H68" s="104"/>
      <c r="I68" s="105">
        <f>K68-G68</f>
        <v>80000</v>
      </c>
      <c r="J68" s="104"/>
      <c r="K68" s="105">
        <v>80000</v>
      </c>
      <c r="L68" s="104"/>
      <c r="M68" s="105">
        <v>0</v>
      </c>
      <c r="N68" s="104"/>
      <c r="O68" s="105">
        <v>0</v>
      </c>
    </row>
    <row r="69" spans="1:19" ht="12" customHeight="1">
      <c r="A69" s="124" t="s">
        <v>58</v>
      </c>
      <c r="B69" s="800"/>
      <c r="C69" s="102" t="s">
        <v>155</v>
      </c>
      <c r="D69" s="100"/>
      <c r="E69" s="7"/>
      <c r="F69" s="100"/>
      <c r="G69" s="7"/>
      <c r="H69" s="100"/>
      <c r="I69" s="7"/>
      <c r="J69" s="100"/>
      <c r="K69" s="7"/>
      <c r="L69" s="100"/>
      <c r="M69" s="7"/>
      <c r="N69" s="748"/>
      <c r="O69" s="749"/>
    </row>
    <row r="70" spans="1:19" ht="12" customHeight="1">
      <c r="A70" s="124" t="s">
        <v>1073</v>
      </c>
      <c r="B70" s="288"/>
      <c r="C70" s="102"/>
      <c r="D70" s="100"/>
      <c r="E70" s="7">
        <v>0</v>
      </c>
      <c r="F70" s="100"/>
      <c r="G70" s="7">
        <v>24900</v>
      </c>
      <c r="H70" s="100"/>
      <c r="I70" s="7">
        <f>K70-G70</f>
        <v>25100</v>
      </c>
      <c r="J70" s="100"/>
      <c r="K70" s="7">
        <v>50000</v>
      </c>
      <c r="L70" s="100"/>
      <c r="M70" s="7">
        <v>0</v>
      </c>
      <c r="N70" s="748"/>
      <c r="O70" s="749">
        <v>0</v>
      </c>
    </row>
    <row r="71" spans="1:19" ht="12" customHeight="1">
      <c r="A71" s="124" t="s">
        <v>1326</v>
      </c>
      <c r="B71" s="288"/>
      <c r="C71" s="102"/>
      <c r="D71" s="100"/>
      <c r="E71" s="7">
        <v>24750</v>
      </c>
      <c r="F71" s="100"/>
      <c r="G71" s="7"/>
      <c r="H71" s="100"/>
      <c r="I71" s="7">
        <f>K71-G71</f>
        <v>0</v>
      </c>
      <c r="J71" s="100"/>
      <c r="K71" s="7">
        <v>0</v>
      </c>
      <c r="L71" s="100"/>
      <c r="M71" s="7">
        <v>0</v>
      </c>
      <c r="N71" s="748"/>
      <c r="O71" s="749">
        <v>0</v>
      </c>
    </row>
    <row r="72" spans="1:19" ht="12" customHeight="1">
      <c r="A72" s="124" t="s">
        <v>1012</v>
      </c>
      <c r="B72" s="288"/>
      <c r="C72" s="102"/>
      <c r="D72" s="100"/>
      <c r="E72" s="7">
        <v>0</v>
      </c>
      <c r="F72" s="100"/>
      <c r="G72" s="7">
        <v>75000</v>
      </c>
      <c r="H72" s="100"/>
      <c r="I72" s="7">
        <f>K72-G72</f>
        <v>125000</v>
      </c>
      <c r="J72" s="100"/>
      <c r="K72" s="7">
        <v>200000</v>
      </c>
      <c r="L72" s="100"/>
      <c r="M72" s="7">
        <v>0</v>
      </c>
      <c r="N72" s="748"/>
      <c r="O72" s="749">
        <v>0</v>
      </c>
    </row>
    <row r="73" spans="1:19" ht="12" customHeight="1">
      <c r="A73" s="124" t="s">
        <v>1014</v>
      </c>
      <c r="B73" s="338"/>
      <c r="C73" s="102"/>
      <c r="D73" s="100"/>
      <c r="E73" s="7">
        <v>0</v>
      </c>
      <c r="F73" s="100"/>
      <c r="G73" s="7">
        <v>0</v>
      </c>
      <c r="H73" s="100"/>
      <c r="I73" s="7">
        <f>K73-G73</f>
        <v>50000</v>
      </c>
      <c r="J73" s="100"/>
      <c r="K73" s="7">
        <v>50000</v>
      </c>
      <c r="L73" s="100"/>
      <c r="M73" s="7">
        <v>0</v>
      </c>
      <c r="N73" s="748"/>
      <c r="O73" s="749">
        <v>0</v>
      </c>
    </row>
    <row r="74" spans="1:19" ht="12" customHeight="1">
      <c r="A74" s="124" t="s">
        <v>50</v>
      </c>
      <c r="B74" s="288"/>
      <c r="C74" s="102" t="s">
        <v>156</v>
      </c>
      <c r="D74" s="100"/>
      <c r="E74" s="7"/>
      <c r="F74" s="100"/>
      <c r="G74" s="7"/>
      <c r="H74" s="100"/>
      <c r="I74" s="7"/>
      <c r="J74" s="100"/>
      <c r="K74" s="7"/>
      <c r="L74" s="100"/>
      <c r="M74" s="7"/>
      <c r="N74" s="748"/>
      <c r="O74" s="749"/>
    </row>
    <row r="75" spans="1:19" ht="12" customHeight="1">
      <c r="A75" s="124" t="s">
        <v>740</v>
      </c>
      <c r="B75" s="339"/>
      <c r="C75" s="102" t="s">
        <v>741</v>
      </c>
      <c r="D75" s="100"/>
      <c r="E75" s="7"/>
      <c r="F75" s="100"/>
      <c r="G75" s="7"/>
      <c r="H75" s="100"/>
      <c r="I75" s="7"/>
      <c r="J75" s="100"/>
      <c r="K75" s="105"/>
      <c r="L75" s="104"/>
      <c r="M75" s="105"/>
      <c r="N75" s="748"/>
      <c r="O75" s="749"/>
    </row>
    <row r="76" spans="1:19" ht="12" customHeight="1">
      <c r="A76" s="1325" t="s">
        <v>16</v>
      </c>
      <c r="B76" s="1326"/>
      <c r="C76" s="102"/>
      <c r="D76" s="109" t="s">
        <v>15</v>
      </c>
      <c r="E76" s="110">
        <f>SUM(E60:E75)</f>
        <v>24750</v>
      </c>
      <c r="F76" s="109" t="s">
        <v>15</v>
      </c>
      <c r="G76" s="110">
        <f>SUM(G60:G75)</f>
        <v>99900</v>
      </c>
      <c r="H76" s="109" t="s">
        <v>15</v>
      </c>
      <c r="I76" s="110">
        <f>SUM(I60:I75)</f>
        <v>455100</v>
      </c>
      <c r="J76" s="109" t="s">
        <v>15</v>
      </c>
      <c r="K76" s="110">
        <f>SUM(K60:K75)</f>
        <v>555000</v>
      </c>
      <c r="L76" s="109" t="s">
        <v>15</v>
      </c>
      <c r="M76" s="110">
        <f>SUM(M60:M75)</f>
        <v>0</v>
      </c>
      <c r="N76" s="109" t="s">
        <v>15</v>
      </c>
      <c r="O76" s="110">
        <f>M76-K76</f>
        <v>-555000</v>
      </c>
      <c r="P76" s="1057">
        <f>O76-K76</f>
        <v>-1110000</v>
      </c>
    </row>
    <row r="77" spans="1:19" ht="6" customHeight="1">
      <c r="A77" s="1325"/>
      <c r="B77" s="1326"/>
      <c r="C77" s="102"/>
      <c r="D77" s="108"/>
      <c r="E77" s="108"/>
      <c r="F77" s="100"/>
      <c r="G77" s="7"/>
      <c r="H77" s="100"/>
      <c r="I77" s="7"/>
      <c r="J77" s="100"/>
      <c r="K77" s="7"/>
      <c r="L77" s="100"/>
      <c r="M77" s="7"/>
      <c r="N77" s="100"/>
      <c r="O77" s="7"/>
    </row>
    <row r="78" spans="1:19" ht="6" customHeight="1">
      <c r="A78" s="287"/>
      <c r="B78" s="288"/>
      <c r="C78" s="102"/>
      <c r="D78" s="108"/>
      <c r="E78" s="108"/>
      <c r="F78" s="100"/>
      <c r="G78" s="7"/>
      <c r="H78" s="100"/>
      <c r="I78" s="7"/>
      <c r="J78" s="100"/>
      <c r="K78" s="7"/>
      <c r="L78" s="100"/>
      <c r="M78" s="7"/>
      <c r="N78" s="100"/>
      <c r="O78" s="7"/>
    </row>
    <row r="79" spans="1:19" ht="12" customHeight="1">
      <c r="A79" s="1336" t="s">
        <v>277</v>
      </c>
      <c r="B79" s="1337"/>
      <c r="C79" s="177"/>
      <c r="D79" s="125" t="s">
        <v>15</v>
      </c>
      <c r="E79" s="126">
        <f>E76+E58+E37</f>
        <v>21638487.350000001</v>
      </c>
      <c r="F79" s="125" t="s">
        <v>15</v>
      </c>
      <c r="G79" s="126">
        <f>G76+G58+G37</f>
        <v>11170522.800000001</v>
      </c>
      <c r="H79" s="125" t="s">
        <v>15</v>
      </c>
      <c r="I79" s="126">
        <f>I76+I58+I37</f>
        <v>16101680.200000001</v>
      </c>
      <c r="J79" s="125" t="s">
        <v>15</v>
      </c>
      <c r="K79" s="126">
        <f>K76+K58+K37</f>
        <v>27272203</v>
      </c>
      <c r="L79" s="125" t="s">
        <v>15</v>
      </c>
      <c r="M79" s="126">
        <f>M76+M58+M37</f>
        <v>26830071</v>
      </c>
      <c r="N79" s="125"/>
      <c r="O79" s="126"/>
      <c r="S79" s="86" t="s">
        <v>11</v>
      </c>
    </row>
    <row r="80" spans="1:19" ht="6" customHeight="1">
      <c r="A80" s="160"/>
      <c r="B80" s="289"/>
      <c r="C80" s="108"/>
      <c r="D80" s="149"/>
      <c r="E80" s="175"/>
      <c r="F80" s="149"/>
      <c r="G80" s="175"/>
      <c r="H80" s="149"/>
      <c r="I80" s="175"/>
      <c r="J80" s="149"/>
      <c r="K80" s="175"/>
      <c r="L80" s="149"/>
      <c r="M80" s="175"/>
      <c r="N80" s="149"/>
      <c r="O80" s="175"/>
    </row>
    <row r="81" spans="1:22" ht="12" customHeight="1">
      <c r="A81" s="62" t="s">
        <v>1623</v>
      </c>
      <c r="B81" s="289"/>
      <c r="C81" s="108"/>
      <c r="D81" s="149"/>
      <c r="E81" s="175"/>
      <c r="F81" s="149"/>
      <c r="G81" s="175"/>
      <c r="H81" s="149"/>
      <c r="I81" s="175"/>
      <c r="J81" s="149"/>
      <c r="K81" s="175"/>
      <c r="L81" s="149"/>
      <c r="M81" s="175"/>
      <c r="N81" s="149"/>
      <c r="O81" s="175"/>
    </row>
    <row r="82" spans="1:22" ht="12" customHeight="1">
      <c r="A82" s="289"/>
      <c r="B82" s="289"/>
      <c r="C82" s="108"/>
      <c r="D82" s="149"/>
      <c r="E82" s="175"/>
      <c r="F82" s="149"/>
      <c r="G82" s="175"/>
      <c r="H82" s="149"/>
      <c r="I82" s="175"/>
      <c r="J82" s="149"/>
      <c r="K82" s="175"/>
      <c r="L82" s="149"/>
      <c r="M82" s="175"/>
      <c r="N82" s="149"/>
      <c r="O82" s="175"/>
    </row>
    <row r="83" spans="1:22" s="127" customFormat="1">
      <c r="A83" s="291" t="s">
        <v>187</v>
      </c>
      <c r="B83" s="291"/>
      <c r="C83" s="292" t="s">
        <v>188</v>
      </c>
      <c r="D83" s="291"/>
      <c r="E83" s="291"/>
      <c r="F83" s="293"/>
      <c r="G83" s="291"/>
      <c r="H83" s="291"/>
      <c r="I83" s="291" t="s">
        <v>190</v>
      </c>
      <c r="J83" s="291"/>
      <c r="K83" s="291"/>
      <c r="L83" s="293"/>
      <c r="M83" s="291"/>
      <c r="N83" s="293"/>
      <c r="O83" s="291"/>
      <c r="P83" s="964"/>
      <c r="Q83" s="985"/>
      <c r="R83" s="1009"/>
      <c r="S83" s="130"/>
      <c r="T83" s="130"/>
      <c r="U83" s="130"/>
      <c r="V83" s="130"/>
    </row>
    <row r="84" spans="1:22" ht="9.75" customHeight="1">
      <c r="A84" s="108"/>
      <c r="B84" s="108"/>
      <c r="C84" s="108"/>
      <c r="D84" s="111"/>
      <c r="E84" s="108"/>
      <c r="F84" s="111"/>
      <c r="G84" s="108"/>
      <c r="H84" s="111"/>
      <c r="I84" s="108"/>
      <c r="J84" s="111"/>
      <c r="K84" s="108"/>
      <c r="L84" s="111"/>
      <c r="M84" s="108"/>
      <c r="N84" s="111"/>
      <c r="O84" s="108"/>
    </row>
    <row r="85" spans="1:22">
      <c r="A85" s="108"/>
      <c r="B85" s="108"/>
      <c r="C85" s="108"/>
      <c r="D85" s="111"/>
      <c r="E85" s="108"/>
      <c r="F85" s="111"/>
      <c r="G85" s="108"/>
      <c r="H85" s="111"/>
      <c r="I85" s="108"/>
      <c r="J85" s="111"/>
      <c r="K85" s="108"/>
      <c r="L85" s="111"/>
      <c r="M85" s="108"/>
      <c r="N85" s="111"/>
      <c r="O85" s="108"/>
    </row>
    <row r="86" spans="1:22" s="89" customFormat="1">
      <c r="A86" s="1340" t="s">
        <v>1606</v>
      </c>
      <c r="B86" s="1340"/>
      <c r="C86" s="1340" t="s">
        <v>1584</v>
      </c>
      <c r="D86" s="1340"/>
      <c r="E86" s="1340"/>
      <c r="F86" s="1340"/>
      <c r="G86" s="1340"/>
      <c r="H86" s="149"/>
      <c r="I86" s="1340" t="str">
        <f>mcro!I73</f>
        <v>(Sgd.) ATTY. JOSE JOEL P. DOROMAL</v>
      </c>
      <c r="J86" s="1340"/>
      <c r="K86" s="1340"/>
      <c r="L86" s="1340"/>
      <c r="M86" s="1340"/>
      <c r="N86" s="805"/>
      <c r="O86" s="805"/>
      <c r="P86" s="965"/>
      <c r="Q86" s="965"/>
      <c r="R86" s="965"/>
    </row>
    <row r="87" spans="1:22">
      <c r="A87" s="1339" t="s">
        <v>208</v>
      </c>
      <c r="B87" s="1339"/>
      <c r="C87" s="1339" t="s">
        <v>206</v>
      </c>
      <c r="D87" s="1339"/>
      <c r="E87" s="1339"/>
      <c r="F87" s="1339"/>
      <c r="G87" s="1339"/>
      <c r="H87" s="111"/>
      <c r="I87" s="1339" t="s">
        <v>192</v>
      </c>
      <c r="J87" s="1339"/>
      <c r="K87" s="1339"/>
      <c r="L87" s="1339"/>
      <c r="M87" s="1339"/>
      <c r="N87" s="202"/>
      <c r="O87" s="202"/>
    </row>
    <row r="91" spans="1:22" s="961" customFormat="1">
      <c r="A91" s="961" t="s">
        <v>1072</v>
      </c>
      <c r="D91" s="966"/>
      <c r="F91" s="966"/>
      <c r="H91" s="966"/>
      <c r="J91" s="966"/>
      <c r="L91" s="966"/>
      <c r="N91" s="966"/>
    </row>
    <row r="131" spans="1:14">
      <c r="A131" s="220"/>
      <c r="B131" s="220"/>
      <c r="C131" s="108"/>
      <c r="D131" s="111"/>
      <c r="E131" s="157"/>
      <c r="F131" s="86"/>
      <c r="H131" s="86"/>
      <c r="J131" s="86"/>
      <c r="L131" s="86"/>
      <c r="N131" s="86"/>
    </row>
    <row r="132" spans="1:14">
      <c r="A132" s="1352" t="s">
        <v>221</v>
      </c>
      <c r="B132" s="1353"/>
      <c r="C132" s="1353"/>
      <c r="D132" s="1353"/>
      <c r="E132" s="1354"/>
      <c r="F132" s="86"/>
      <c r="H132" s="86"/>
      <c r="J132" s="86"/>
      <c r="L132" s="86"/>
      <c r="N132" s="86"/>
    </row>
    <row r="133" spans="1:14">
      <c r="A133" s="114"/>
      <c r="B133" s="92"/>
      <c r="C133" s="92"/>
      <c r="D133" s="116"/>
      <c r="E133" s="115"/>
      <c r="F133" s="86"/>
      <c r="H133" s="86"/>
      <c r="J133" s="86"/>
      <c r="L133" s="86"/>
      <c r="N133" s="86"/>
    </row>
    <row r="134" spans="1:14">
      <c r="A134" s="1324" t="s">
        <v>60</v>
      </c>
      <c r="B134" s="1311"/>
      <c r="C134" s="108"/>
      <c r="D134" s="111"/>
      <c r="E134" s="98"/>
      <c r="F134" s="86"/>
      <c r="H134" s="86"/>
      <c r="J134" s="86"/>
      <c r="L134" s="86"/>
      <c r="N134" s="86"/>
    </row>
    <row r="135" spans="1:14">
      <c r="A135" s="101" t="s">
        <v>233</v>
      </c>
      <c r="B135" s="108"/>
      <c r="C135" s="108"/>
      <c r="D135" s="111"/>
      <c r="E135" s="135" t="s">
        <v>228</v>
      </c>
      <c r="F135" s="86"/>
      <c r="H135" s="86"/>
      <c r="J135" s="86"/>
      <c r="L135" s="86"/>
      <c r="N135" s="86"/>
    </row>
    <row r="136" spans="1:14">
      <c r="A136" s="101"/>
      <c r="B136" s="108"/>
      <c r="C136" s="108"/>
      <c r="D136" s="111"/>
      <c r="E136" s="98"/>
      <c r="F136" s="86"/>
      <c r="H136" s="86"/>
      <c r="J136" s="86"/>
      <c r="L136" s="86"/>
      <c r="N136" s="86"/>
    </row>
    <row r="137" spans="1:14">
      <c r="A137" s="136" t="s">
        <v>61</v>
      </c>
      <c r="B137" s="108"/>
      <c r="C137" s="108"/>
      <c r="D137" s="111" t="s">
        <v>15</v>
      </c>
      <c r="E137" s="7">
        <v>758000</v>
      </c>
      <c r="F137" s="86"/>
      <c r="H137" s="86"/>
      <c r="J137" s="86"/>
      <c r="L137" s="86"/>
      <c r="N137" s="86"/>
    </row>
    <row r="138" spans="1:14">
      <c r="A138" s="136" t="s">
        <v>80</v>
      </c>
      <c r="B138" s="108"/>
      <c r="C138" s="108"/>
      <c r="D138" s="111"/>
      <c r="E138" s="7">
        <v>68000</v>
      </c>
      <c r="F138" s="86"/>
      <c r="H138" s="86"/>
      <c r="J138" s="86"/>
      <c r="L138" s="86"/>
      <c r="N138" s="86"/>
    </row>
    <row r="139" spans="1:14" ht="15.75">
      <c r="A139" s="136" t="s">
        <v>77</v>
      </c>
      <c r="B139" s="108"/>
      <c r="C139" s="108"/>
      <c r="D139" s="111"/>
      <c r="E139" s="137">
        <v>160000</v>
      </c>
      <c r="F139" s="86"/>
      <c r="H139" s="86"/>
      <c r="J139" s="86"/>
      <c r="L139" s="86"/>
      <c r="N139" s="86"/>
    </row>
    <row r="140" spans="1:14">
      <c r="A140" s="1320" t="s">
        <v>64</v>
      </c>
      <c r="B140" s="1321"/>
      <c r="C140" s="108"/>
      <c r="D140" s="111" t="s">
        <v>15</v>
      </c>
      <c r="E140" s="7">
        <f>SUM(E137:E139)</f>
        <v>986000</v>
      </c>
      <c r="F140" s="86"/>
      <c r="H140" s="86"/>
      <c r="J140" s="86"/>
      <c r="L140" s="86"/>
      <c r="N140" s="86"/>
    </row>
    <row r="141" spans="1:14">
      <c r="A141" s="138"/>
      <c r="B141" s="90"/>
      <c r="C141" s="90"/>
      <c r="D141" s="139"/>
      <c r="E141" s="112"/>
      <c r="F141" s="86"/>
      <c r="H141" s="86"/>
      <c r="J141" s="86"/>
      <c r="L141" s="86"/>
      <c r="N141" s="86"/>
    </row>
    <row r="144" spans="1:14">
      <c r="A144" s="1352" t="s">
        <v>221</v>
      </c>
      <c r="B144" s="1353"/>
      <c r="C144" s="1353"/>
      <c r="D144" s="1353"/>
      <c r="E144" s="1354"/>
    </row>
    <row r="145" spans="1:5">
      <c r="A145" s="114"/>
      <c r="B145" s="92"/>
      <c r="C145" s="92"/>
      <c r="D145" s="116"/>
      <c r="E145" s="115"/>
    </row>
    <row r="146" spans="1:5">
      <c r="A146" s="1324" t="s">
        <v>60</v>
      </c>
      <c r="B146" s="1311"/>
      <c r="C146" s="108"/>
      <c r="D146" s="111"/>
      <c r="E146" s="98"/>
    </row>
    <row r="147" spans="1:5">
      <c r="A147" s="101" t="s">
        <v>233</v>
      </c>
      <c r="B147" s="108"/>
      <c r="C147" s="108"/>
      <c r="D147" s="111"/>
      <c r="E147" s="135" t="s">
        <v>300</v>
      </c>
    </row>
    <row r="148" spans="1:5">
      <c r="A148" s="101"/>
      <c r="B148" s="108"/>
      <c r="C148" s="108"/>
      <c r="D148" s="111"/>
      <c r="E148" s="98"/>
    </row>
    <row r="149" spans="1:5">
      <c r="A149" s="136" t="s">
        <v>61</v>
      </c>
      <c r="B149" s="108"/>
      <c r="C149" s="108"/>
      <c r="D149" s="111" t="s">
        <v>15</v>
      </c>
      <c r="E149" s="7">
        <v>718000</v>
      </c>
    </row>
    <row r="150" spans="1:5">
      <c r="A150" s="136" t="s">
        <v>80</v>
      </c>
      <c r="B150" s="108"/>
      <c r="C150" s="108"/>
      <c r="D150" s="111"/>
      <c r="E150" s="7">
        <v>68000</v>
      </c>
    </row>
    <row r="151" spans="1:5">
      <c r="A151" s="136" t="s">
        <v>316</v>
      </c>
      <c r="B151" s="108"/>
      <c r="C151" s="108"/>
      <c r="D151" s="111"/>
      <c r="E151" s="7">
        <v>100000</v>
      </c>
    </row>
    <row r="152" spans="1:5">
      <c r="A152" s="136" t="s">
        <v>77</v>
      </c>
      <c r="B152" s="108"/>
      <c r="C152" s="108"/>
      <c r="D152" s="111"/>
      <c r="E152" s="7">
        <v>179000</v>
      </c>
    </row>
    <row r="153" spans="1:5" ht="15.75">
      <c r="A153" s="136" t="s">
        <v>323</v>
      </c>
      <c r="B153" s="108"/>
      <c r="C153" s="108"/>
      <c r="D153" s="111"/>
      <c r="E153" s="137">
        <v>210000</v>
      </c>
    </row>
    <row r="154" spans="1:5">
      <c r="A154" s="1320" t="s">
        <v>64</v>
      </c>
      <c r="B154" s="1321"/>
      <c r="C154" s="108"/>
      <c r="D154" s="111" t="s">
        <v>15</v>
      </c>
      <c r="E154" s="7">
        <f>SUM(E149:E153)</f>
        <v>1275000</v>
      </c>
    </row>
    <row r="155" spans="1:5">
      <c r="A155" s="138"/>
      <c r="B155" s="90"/>
      <c r="C155" s="90"/>
      <c r="D155" s="139"/>
      <c r="E155" s="112"/>
    </row>
  </sheetData>
  <sheetProtection algorithmName="SHA-512" hashValue="G+WRvhAuY0rGTt3oiZWAne3uWAA+tL4+bwa4uTsjIM+22c0iOjR7C74CRSMHnxna2okoUgqEiDRzBTN9u5U+Gg==" saltValue="ewdrnsyDZwO+bR9jNRJc2w==" spinCount="100000" sheet="1" objects="1" scenarios="1"/>
  <mergeCells count="33">
    <mergeCell ref="I86:M86"/>
    <mergeCell ref="I87:M87"/>
    <mergeCell ref="A12:B12"/>
    <mergeCell ref="A86:B86"/>
    <mergeCell ref="A77:B77"/>
    <mergeCell ref="A58:B58"/>
    <mergeCell ref="A79:B79"/>
    <mergeCell ref="A76:B76"/>
    <mergeCell ref="A37:B37"/>
    <mergeCell ref="L12:M12"/>
    <mergeCell ref="L13:M13"/>
    <mergeCell ref="C86:G86"/>
    <mergeCell ref="N11:O13"/>
    <mergeCell ref="A3:M3"/>
    <mergeCell ref="F11:K11"/>
    <mergeCell ref="H13:I13"/>
    <mergeCell ref="F12:G12"/>
    <mergeCell ref="J12:K13"/>
    <mergeCell ref="H12:I12"/>
    <mergeCell ref="D13:E13"/>
    <mergeCell ref="F13:G13"/>
    <mergeCell ref="D12:E12"/>
    <mergeCell ref="A4:M4"/>
    <mergeCell ref="D11:E11"/>
    <mergeCell ref="L11:M11"/>
    <mergeCell ref="A146:B146"/>
    <mergeCell ref="A154:B154"/>
    <mergeCell ref="A140:B140"/>
    <mergeCell ref="C87:G87"/>
    <mergeCell ref="A134:B134"/>
    <mergeCell ref="A132:E132"/>
    <mergeCell ref="A87:B87"/>
    <mergeCell ref="A144:E144"/>
  </mergeCells>
  <pageMargins left="0.19685039370078741" right="0.19685039370078741" top="0.98425196850393704" bottom="0.98425196850393704" header="0.51181102362204722" footer="0.51181102362204722"/>
  <pageSetup paperSize="14" orientation="portrait" verticalDpi="300" copies="3" r:id="rId1"/>
  <headerFooter alignWithMargins="0">
    <oddHeader>&amp;RPage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V176"/>
  <sheetViews>
    <sheetView topLeftCell="A49" zoomScale="130" zoomScaleNormal="130" workbookViewId="0">
      <selection activeCell="N22" sqref="N22"/>
    </sheetView>
  </sheetViews>
  <sheetFormatPr defaultColWidth="9.140625" defaultRowHeight="13.5"/>
  <cols>
    <col min="1" max="1" width="7.42578125" style="86" customWidth="1"/>
    <col min="2" max="2" width="25.5703125" style="86" customWidth="1"/>
    <col min="3" max="3" width="9" style="86" customWidth="1"/>
    <col min="4" max="4" width="2" style="87" customWidth="1"/>
    <col min="5" max="5" width="10.28515625" style="86" customWidth="1"/>
    <col min="6" max="6" width="2.140625" style="87" customWidth="1"/>
    <col min="7" max="7" width="10.140625" style="86" customWidth="1"/>
    <col min="8" max="8" width="1.5703125" style="87" customWidth="1"/>
    <col min="9" max="9" width="10.140625" style="86" customWidth="1"/>
    <col min="10" max="10" width="2.140625" style="87" customWidth="1"/>
    <col min="11" max="11" width="10.85546875" style="86" customWidth="1"/>
    <col min="12" max="12" width="1.85546875" style="87" customWidth="1"/>
    <col min="13" max="13" width="10.7109375" style="86" customWidth="1"/>
    <col min="14" max="14" width="1.85546875" style="87" hidden="1" customWidth="1"/>
    <col min="15" max="15" width="10.5703125" style="86" hidden="1" customWidth="1"/>
    <col min="16" max="16" width="12.7109375" style="961" hidden="1" customWidth="1"/>
    <col min="17" max="20" width="9.140625" style="961"/>
    <col min="21" max="16384" width="9.140625" style="86"/>
  </cols>
  <sheetData>
    <row r="1" spans="1:20">
      <c r="A1" s="86" t="s">
        <v>186</v>
      </c>
    </row>
    <row r="2" spans="1:20" ht="7.5" customHeight="1"/>
    <row r="3" spans="1:20" ht="12.75" customHeight="1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774"/>
      <c r="O3" s="774"/>
      <c r="P3" s="962"/>
      <c r="Q3" s="962"/>
      <c r="R3" s="962"/>
      <c r="S3" s="962"/>
      <c r="T3" s="962"/>
    </row>
    <row r="4" spans="1:20" ht="11.25" customHeight="1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774"/>
      <c r="O4" s="774"/>
      <c r="P4" s="962"/>
      <c r="Q4" s="962"/>
      <c r="R4" s="962"/>
      <c r="S4" s="962"/>
      <c r="T4" s="962"/>
    </row>
    <row r="5" spans="1:20" ht="8.25" customHeight="1"/>
    <row r="6" spans="1:20">
      <c r="A6" s="89" t="s">
        <v>85</v>
      </c>
      <c r="B6" s="90" t="s">
        <v>427</v>
      </c>
      <c r="C6" s="90"/>
    </row>
    <row r="7" spans="1:20" hidden="1">
      <c r="A7" s="86" t="s">
        <v>2</v>
      </c>
      <c r="B7" s="91" t="s">
        <v>428</v>
      </c>
      <c r="C7" s="91"/>
      <c r="F7" s="1338"/>
      <c r="G7" s="1338"/>
      <c r="H7" s="1338"/>
      <c r="I7" s="1338"/>
      <c r="J7" s="1338"/>
      <c r="K7" s="1338"/>
      <c r="L7" s="1338"/>
      <c r="M7" s="1338"/>
      <c r="N7" s="777"/>
      <c r="O7" s="777"/>
    </row>
    <row r="8" spans="1:20" hidden="1">
      <c r="A8" s="86" t="s">
        <v>3</v>
      </c>
      <c r="B8" s="91" t="s">
        <v>429</v>
      </c>
      <c r="C8" s="91"/>
      <c r="F8" s="1322"/>
      <c r="G8" s="1322"/>
      <c r="H8" s="1322"/>
      <c r="I8" s="1322"/>
      <c r="J8" s="1322"/>
      <c r="K8" s="1322"/>
      <c r="L8" s="1322"/>
      <c r="M8" s="1322"/>
      <c r="N8" s="776"/>
      <c r="O8" s="776"/>
    </row>
    <row r="9" spans="1:20" hidden="1">
      <c r="A9" s="86" t="s">
        <v>4</v>
      </c>
      <c r="B9" s="91" t="s">
        <v>404</v>
      </c>
      <c r="C9" s="91"/>
    </row>
    <row r="10" spans="1:20" ht="5.25" customHeight="1">
      <c r="B10" s="92"/>
      <c r="C10" s="92"/>
    </row>
    <row r="11" spans="1:20">
      <c r="A11" s="93"/>
      <c r="B11" s="94"/>
      <c r="C11" s="2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292" t="s">
        <v>494</v>
      </c>
      <c r="O11" s="1293"/>
    </row>
    <row r="12" spans="1:20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294"/>
      <c r="O12" s="1295"/>
    </row>
    <row r="13" spans="1:20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296"/>
      <c r="O13" s="1297"/>
    </row>
    <row r="14" spans="1:20" ht="12.6" customHeight="1">
      <c r="A14" s="97" t="s">
        <v>281</v>
      </c>
      <c r="B14" s="98"/>
      <c r="C14" s="99"/>
      <c r="D14" s="100"/>
      <c r="E14" s="7"/>
      <c r="F14" s="100"/>
      <c r="G14" s="7"/>
      <c r="H14" s="100"/>
      <c r="I14" s="7"/>
      <c r="J14" s="100"/>
      <c r="K14" s="7"/>
      <c r="L14" s="100"/>
      <c r="M14" s="7"/>
      <c r="N14" s="100"/>
      <c r="O14" s="7"/>
    </row>
    <row r="15" spans="1:20" ht="12.6" customHeight="1">
      <c r="A15" s="101" t="s">
        <v>262</v>
      </c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  <c r="N15" s="100"/>
      <c r="O15" s="7"/>
    </row>
    <row r="16" spans="1:20" ht="12.6" customHeight="1">
      <c r="A16" s="101" t="s">
        <v>263</v>
      </c>
      <c r="B16" s="98"/>
      <c r="C16" s="102" t="s">
        <v>114</v>
      </c>
      <c r="D16" s="100" t="s">
        <v>15</v>
      </c>
      <c r="E16" s="221">
        <v>2528904</v>
      </c>
      <c r="F16" s="100" t="s">
        <v>15</v>
      </c>
      <c r="G16" s="221">
        <v>1360206</v>
      </c>
      <c r="H16" s="100" t="s">
        <v>15</v>
      </c>
      <c r="I16" s="221">
        <f>K16-G16</f>
        <v>1462842</v>
      </c>
      <c r="J16" s="100" t="s">
        <v>15</v>
      </c>
      <c r="K16" s="221">
        <v>2823048</v>
      </c>
      <c r="L16" s="100" t="s">
        <v>15</v>
      </c>
      <c r="M16" s="221">
        <v>3615432</v>
      </c>
      <c r="N16" s="104" t="s">
        <v>15</v>
      </c>
      <c r="O16" s="222">
        <v>0</v>
      </c>
      <c r="P16" s="963"/>
    </row>
    <row r="17" spans="1:16" ht="12.6" customHeight="1">
      <c r="A17" s="101" t="s">
        <v>287</v>
      </c>
      <c r="B17" s="98"/>
      <c r="C17" s="102" t="s">
        <v>115</v>
      </c>
      <c r="D17" s="100"/>
      <c r="E17" s="221">
        <v>696808.83</v>
      </c>
      <c r="F17" s="100"/>
      <c r="G17" s="221">
        <v>307050.98</v>
      </c>
      <c r="H17" s="100"/>
      <c r="I17" s="221">
        <f t="shared" ref="I17:I31" si="0">K17-G17</f>
        <v>589109.02</v>
      </c>
      <c r="J17" s="100"/>
      <c r="K17" s="221">
        <v>896160</v>
      </c>
      <c r="L17" s="100"/>
      <c r="M17" s="221">
        <v>690960</v>
      </c>
      <c r="N17" s="748"/>
      <c r="O17" s="752">
        <v>0</v>
      </c>
      <c r="P17" s="963"/>
    </row>
    <row r="18" spans="1:16" ht="12.6" customHeight="1">
      <c r="A18" s="101" t="s">
        <v>265</v>
      </c>
      <c r="B18" s="98"/>
      <c r="C18" s="102"/>
      <c r="D18" s="100"/>
      <c r="E18" s="7"/>
      <c r="F18" s="100"/>
      <c r="G18" s="7"/>
      <c r="H18" s="100"/>
      <c r="I18" s="7"/>
      <c r="J18" s="100"/>
      <c r="K18" s="7"/>
      <c r="L18" s="100"/>
      <c r="M18" s="7"/>
      <c r="N18" s="748"/>
      <c r="O18" s="749"/>
      <c r="P18" s="963"/>
    </row>
    <row r="19" spans="1:16" ht="12.6" customHeight="1">
      <c r="A19" s="101" t="s">
        <v>266</v>
      </c>
      <c r="B19" s="98"/>
      <c r="C19" s="102" t="s">
        <v>116</v>
      </c>
      <c r="D19" s="100"/>
      <c r="E19" s="221">
        <v>240364.21</v>
      </c>
      <c r="F19" s="100"/>
      <c r="G19" s="221">
        <v>120725.15</v>
      </c>
      <c r="H19" s="100"/>
      <c r="I19" s="221">
        <f t="shared" si="0"/>
        <v>167274.85</v>
      </c>
      <c r="J19" s="100"/>
      <c r="K19" s="221">
        <v>288000</v>
      </c>
      <c r="L19" s="100"/>
      <c r="M19" s="221">
        <v>312000</v>
      </c>
      <c r="N19" s="748"/>
      <c r="O19" s="752">
        <v>0</v>
      </c>
      <c r="P19" s="963"/>
    </row>
    <row r="20" spans="1:16" ht="12.6" customHeight="1">
      <c r="A20" s="101" t="s">
        <v>267</v>
      </c>
      <c r="B20" s="98"/>
      <c r="C20" s="102" t="s">
        <v>117</v>
      </c>
      <c r="D20" s="100"/>
      <c r="E20" s="221">
        <v>81000</v>
      </c>
      <c r="F20" s="100"/>
      <c r="G20" s="221">
        <v>40500</v>
      </c>
      <c r="H20" s="100"/>
      <c r="I20" s="221">
        <f t="shared" si="0"/>
        <v>40500</v>
      </c>
      <c r="J20" s="100"/>
      <c r="K20" s="221">
        <v>81000</v>
      </c>
      <c r="L20" s="100"/>
      <c r="M20" s="221">
        <v>81000</v>
      </c>
      <c r="N20" s="748"/>
      <c r="O20" s="752">
        <v>0</v>
      </c>
      <c r="P20" s="963"/>
    </row>
    <row r="21" spans="1:16" ht="12.6" customHeight="1">
      <c r="A21" s="101" t="s">
        <v>268</v>
      </c>
      <c r="B21" s="106"/>
      <c r="C21" s="102" t="s">
        <v>118</v>
      </c>
      <c r="D21" s="100"/>
      <c r="E21" s="221">
        <v>81000</v>
      </c>
      <c r="F21" s="100"/>
      <c r="G21" s="221">
        <v>40500</v>
      </c>
      <c r="H21" s="100"/>
      <c r="I21" s="221">
        <f t="shared" si="0"/>
        <v>40500</v>
      </c>
      <c r="J21" s="100"/>
      <c r="K21" s="221">
        <v>81000</v>
      </c>
      <c r="L21" s="100"/>
      <c r="M21" s="221">
        <v>81000</v>
      </c>
      <c r="N21" s="748"/>
      <c r="O21" s="752">
        <v>0</v>
      </c>
      <c r="P21" s="963"/>
    </row>
    <row r="22" spans="1:16" ht="12.6" customHeight="1">
      <c r="A22" s="101" t="s">
        <v>269</v>
      </c>
      <c r="B22" s="106"/>
      <c r="C22" s="102" t="s">
        <v>119</v>
      </c>
      <c r="D22" s="100"/>
      <c r="E22" s="221">
        <v>60000</v>
      </c>
      <c r="F22" s="100"/>
      <c r="G22" s="221">
        <v>54000</v>
      </c>
      <c r="H22" s="100"/>
      <c r="I22" s="221">
        <f t="shared" si="0"/>
        <v>18000</v>
      </c>
      <c r="J22" s="100"/>
      <c r="K22" s="221">
        <v>72000</v>
      </c>
      <c r="L22" s="100"/>
      <c r="M22" s="221">
        <v>78000</v>
      </c>
      <c r="N22" s="748"/>
      <c r="O22" s="752">
        <v>0</v>
      </c>
      <c r="P22" s="963"/>
    </row>
    <row r="23" spans="1:16" ht="12.6" customHeight="1">
      <c r="A23" s="101" t="s">
        <v>270</v>
      </c>
      <c r="B23" s="106"/>
      <c r="C23" s="102" t="s">
        <v>120</v>
      </c>
      <c r="D23" s="100"/>
      <c r="E23" s="221">
        <v>45000</v>
      </c>
      <c r="F23" s="100"/>
      <c r="G23" s="221">
        <v>0</v>
      </c>
      <c r="H23" s="100"/>
      <c r="I23" s="221">
        <f t="shared" si="0"/>
        <v>60000</v>
      </c>
      <c r="J23" s="100"/>
      <c r="K23" s="221">
        <v>60000</v>
      </c>
      <c r="L23" s="100"/>
      <c r="M23" s="221">
        <v>65000</v>
      </c>
      <c r="N23" s="748"/>
      <c r="O23" s="752">
        <v>0</v>
      </c>
      <c r="P23" s="963"/>
    </row>
    <row r="24" spans="1:16" ht="12.6" customHeight="1">
      <c r="A24" s="101" t="s">
        <v>271</v>
      </c>
      <c r="B24" s="98"/>
      <c r="C24" s="102" t="s">
        <v>121</v>
      </c>
      <c r="D24" s="100"/>
      <c r="E24" s="221">
        <v>236916.96</v>
      </c>
      <c r="F24" s="100"/>
      <c r="G24" s="221">
        <v>0</v>
      </c>
      <c r="H24" s="100"/>
      <c r="I24" s="221">
        <f t="shared" si="0"/>
        <v>309934</v>
      </c>
      <c r="J24" s="100"/>
      <c r="K24" s="221">
        <v>309934</v>
      </c>
      <c r="L24" s="100"/>
      <c r="M24" s="221">
        <v>358866</v>
      </c>
      <c r="N24" s="748"/>
      <c r="O24" s="752">
        <v>0</v>
      </c>
      <c r="P24" s="963"/>
    </row>
    <row r="25" spans="1:16" ht="12.6" customHeight="1">
      <c r="A25" s="101" t="s">
        <v>278</v>
      </c>
      <c r="B25" s="108"/>
      <c r="C25" s="102" t="s">
        <v>258</v>
      </c>
      <c r="D25" s="100"/>
      <c r="E25" s="7"/>
      <c r="F25" s="100"/>
      <c r="G25" s="7"/>
      <c r="H25" s="100"/>
      <c r="I25" s="221"/>
      <c r="J25" s="100"/>
      <c r="K25" s="7"/>
      <c r="L25" s="100"/>
      <c r="M25" s="7"/>
      <c r="N25" s="748"/>
      <c r="O25" s="749"/>
      <c r="P25" s="963"/>
    </row>
    <row r="26" spans="1:16" ht="12.6" customHeight="1">
      <c r="A26" s="101" t="s">
        <v>279</v>
      </c>
      <c r="B26" s="108"/>
      <c r="C26" s="102"/>
      <c r="D26" s="100"/>
      <c r="E26" s="221">
        <v>236576.96</v>
      </c>
      <c r="F26" s="100"/>
      <c r="G26" s="221">
        <v>275731.76</v>
      </c>
      <c r="H26" s="100"/>
      <c r="I26" s="221">
        <f>K26-G26</f>
        <v>34202.239999999991</v>
      </c>
      <c r="J26" s="100"/>
      <c r="K26" s="221">
        <v>309934</v>
      </c>
      <c r="L26" s="100"/>
      <c r="M26" s="221">
        <v>358866</v>
      </c>
      <c r="N26" s="748"/>
      <c r="O26" s="752">
        <v>0</v>
      </c>
      <c r="P26" s="963"/>
    </row>
    <row r="27" spans="1:16" ht="12.6" customHeight="1">
      <c r="A27" s="101" t="s">
        <v>280</v>
      </c>
      <c r="B27" s="108"/>
      <c r="C27" s="102"/>
      <c r="D27" s="100"/>
      <c r="E27" s="7">
        <v>0</v>
      </c>
      <c r="F27" s="100"/>
      <c r="G27" s="7">
        <v>27000</v>
      </c>
      <c r="H27" s="100"/>
      <c r="I27" s="221">
        <f>K27-G27</f>
        <v>9000</v>
      </c>
      <c r="J27" s="100"/>
      <c r="K27" s="7">
        <v>36000</v>
      </c>
      <c r="L27" s="100"/>
      <c r="M27" s="7">
        <v>0</v>
      </c>
      <c r="N27" s="748"/>
      <c r="O27" s="749">
        <v>0</v>
      </c>
      <c r="P27" s="963"/>
    </row>
    <row r="28" spans="1:16" ht="12.6" customHeight="1">
      <c r="A28" s="101" t="s">
        <v>272</v>
      </c>
      <c r="B28" s="98"/>
      <c r="C28" s="102" t="s">
        <v>122</v>
      </c>
      <c r="D28" s="100"/>
      <c r="E28" s="221">
        <v>393231.27</v>
      </c>
      <c r="F28" s="100"/>
      <c r="G28" s="221">
        <v>201765.4</v>
      </c>
      <c r="H28" s="100"/>
      <c r="I28" s="221">
        <f t="shared" si="0"/>
        <v>244539.6</v>
      </c>
      <c r="J28" s="100"/>
      <c r="K28" s="221">
        <v>446305</v>
      </c>
      <c r="L28" s="100"/>
      <c r="M28" s="221">
        <v>516768</v>
      </c>
      <c r="N28" s="748"/>
      <c r="O28" s="752">
        <v>0</v>
      </c>
      <c r="P28" s="963"/>
    </row>
    <row r="29" spans="1:16" ht="12.6" customHeight="1">
      <c r="A29" s="101" t="s">
        <v>273</v>
      </c>
      <c r="B29" s="98"/>
      <c r="C29" s="102" t="s">
        <v>123</v>
      </c>
      <c r="D29" s="100"/>
      <c r="E29" s="221">
        <v>64910.94</v>
      </c>
      <c r="F29" s="100"/>
      <c r="G29" s="221">
        <v>10301.66</v>
      </c>
      <c r="H29" s="100"/>
      <c r="I29" s="221">
        <f t="shared" si="0"/>
        <v>64110.34</v>
      </c>
      <c r="J29" s="100"/>
      <c r="K29" s="221">
        <v>74412</v>
      </c>
      <c r="L29" s="100"/>
      <c r="M29" s="221">
        <v>15600</v>
      </c>
      <c r="N29" s="748"/>
      <c r="O29" s="752">
        <v>0</v>
      </c>
      <c r="P29" s="963"/>
    </row>
    <row r="30" spans="1:16" ht="12.6" customHeight="1">
      <c r="A30" s="101" t="s">
        <v>274</v>
      </c>
      <c r="B30" s="98"/>
      <c r="C30" s="102" t="s">
        <v>124</v>
      </c>
      <c r="D30" s="100"/>
      <c r="E30" s="221">
        <v>43997.43</v>
      </c>
      <c r="F30" s="100"/>
      <c r="G30" s="221">
        <v>24084.240000000002</v>
      </c>
      <c r="H30" s="100"/>
      <c r="I30" s="221">
        <f t="shared" si="0"/>
        <v>48479.759999999995</v>
      </c>
      <c r="J30" s="100"/>
      <c r="K30" s="221">
        <v>72564</v>
      </c>
      <c r="L30" s="100"/>
      <c r="M30" s="221">
        <v>96972</v>
      </c>
      <c r="N30" s="748"/>
      <c r="O30" s="752">
        <v>0</v>
      </c>
      <c r="P30" s="963"/>
    </row>
    <row r="31" spans="1:16" ht="12.6" customHeight="1">
      <c r="A31" s="101" t="s">
        <v>275</v>
      </c>
      <c r="B31" s="98"/>
      <c r="C31" s="102" t="s">
        <v>125</v>
      </c>
      <c r="D31" s="100"/>
      <c r="E31" s="221">
        <v>12500</v>
      </c>
      <c r="F31" s="100"/>
      <c r="G31" s="221">
        <v>6200</v>
      </c>
      <c r="H31" s="100"/>
      <c r="I31" s="221">
        <f t="shared" si="0"/>
        <v>8200</v>
      </c>
      <c r="J31" s="100"/>
      <c r="K31" s="221">
        <v>14400</v>
      </c>
      <c r="L31" s="100"/>
      <c r="M31" s="221">
        <v>15600</v>
      </c>
      <c r="N31" s="748"/>
      <c r="O31" s="752">
        <v>0</v>
      </c>
      <c r="P31" s="963"/>
    </row>
    <row r="32" spans="1:16" ht="12.6" customHeight="1">
      <c r="A32" s="101" t="s">
        <v>276</v>
      </c>
      <c r="B32" s="108"/>
      <c r="C32" s="102" t="s">
        <v>161</v>
      </c>
      <c r="D32" s="100"/>
      <c r="E32" s="7"/>
      <c r="F32" s="100"/>
      <c r="G32" s="7"/>
      <c r="H32" s="100"/>
      <c r="I32" s="7"/>
      <c r="J32" s="100"/>
      <c r="K32" s="7"/>
      <c r="L32" s="100"/>
      <c r="M32" s="7"/>
      <c r="N32" s="748"/>
      <c r="O32" s="749"/>
      <c r="P32" s="963"/>
    </row>
    <row r="33" spans="1:17" ht="12.6" customHeight="1">
      <c r="A33" s="101" t="s">
        <v>292</v>
      </c>
      <c r="B33" s="108"/>
      <c r="C33" s="102"/>
      <c r="D33" s="100"/>
      <c r="E33" s="7">
        <v>0</v>
      </c>
      <c r="F33" s="100"/>
      <c r="G33" s="7">
        <v>0</v>
      </c>
      <c r="H33" s="100"/>
      <c r="I33" s="7">
        <f>K33-G33</f>
        <v>0</v>
      </c>
      <c r="J33" s="100"/>
      <c r="K33" s="7">
        <v>0</v>
      </c>
      <c r="L33" s="100"/>
      <c r="M33" s="7">
        <v>202705</v>
      </c>
      <c r="N33" s="748"/>
      <c r="O33" s="749">
        <v>0</v>
      </c>
    </row>
    <row r="34" spans="1:17" ht="12.6" customHeight="1">
      <c r="A34" s="101" t="s">
        <v>259</v>
      </c>
      <c r="B34" s="108"/>
      <c r="C34" s="102"/>
      <c r="D34" s="100"/>
      <c r="E34" s="7">
        <v>10000</v>
      </c>
      <c r="F34" s="100"/>
      <c r="G34" s="7">
        <v>5000</v>
      </c>
      <c r="H34" s="100"/>
      <c r="I34" s="221">
        <f>K34-G34</f>
        <v>0</v>
      </c>
      <c r="J34" s="100"/>
      <c r="K34" s="7">
        <v>5000</v>
      </c>
      <c r="L34" s="100"/>
      <c r="M34" s="7">
        <v>0</v>
      </c>
      <c r="N34" s="748"/>
      <c r="O34" s="749">
        <v>0</v>
      </c>
      <c r="P34" s="963"/>
    </row>
    <row r="35" spans="1:17" ht="12.6" customHeight="1">
      <c r="A35" s="101" t="s">
        <v>764</v>
      </c>
      <c r="B35" s="108"/>
      <c r="C35" s="102"/>
      <c r="D35" s="100"/>
      <c r="E35" s="7">
        <v>0</v>
      </c>
      <c r="F35" s="100"/>
      <c r="G35" s="7">
        <v>0</v>
      </c>
      <c r="H35" s="100"/>
      <c r="I35" s="221">
        <f>K35-G35</f>
        <v>164303</v>
      </c>
      <c r="J35" s="100"/>
      <c r="K35" s="7">
        <v>164303</v>
      </c>
      <c r="L35" s="100"/>
      <c r="M35" s="7">
        <v>0</v>
      </c>
      <c r="N35" s="748"/>
      <c r="O35" s="749">
        <v>0</v>
      </c>
      <c r="P35" s="963"/>
    </row>
    <row r="36" spans="1:17" ht="12.6" customHeight="1">
      <c r="A36" s="101" t="s">
        <v>260</v>
      </c>
      <c r="B36" s="108"/>
      <c r="C36" s="102"/>
      <c r="D36" s="100"/>
      <c r="E36" s="221">
        <v>52000</v>
      </c>
      <c r="F36" s="104"/>
      <c r="G36" s="221">
        <v>0</v>
      </c>
      <c r="H36" s="104"/>
      <c r="I36" s="222">
        <f>K36-G36</f>
        <v>60000</v>
      </c>
      <c r="J36" s="104"/>
      <c r="K36" s="222">
        <v>60000</v>
      </c>
      <c r="L36" s="104"/>
      <c r="M36" s="222">
        <v>65000</v>
      </c>
      <c r="N36" s="748"/>
      <c r="O36" s="752">
        <v>0</v>
      </c>
      <c r="P36" s="963"/>
    </row>
    <row r="37" spans="1:17" ht="12.6" customHeight="1">
      <c r="A37" s="1325" t="s">
        <v>14</v>
      </c>
      <c r="B37" s="1326"/>
      <c r="C37" s="102"/>
      <c r="D37" s="144" t="s">
        <v>15</v>
      </c>
      <c r="E37" s="174">
        <f>SUM(E16:E36)</f>
        <v>4783210.6000000006</v>
      </c>
      <c r="F37" s="144" t="s">
        <v>15</v>
      </c>
      <c r="G37" s="174">
        <f>SUM(G16:G36)</f>
        <v>2473065.19</v>
      </c>
      <c r="H37" s="144" t="s">
        <v>15</v>
      </c>
      <c r="I37" s="174">
        <f>SUM(I16:I36)</f>
        <v>3320994.81</v>
      </c>
      <c r="J37" s="144" t="s">
        <v>15</v>
      </c>
      <c r="K37" s="174">
        <f>SUM(K16:K36)</f>
        <v>5794060</v>
      </c>
      <c r="L37" s="144" t="s">
        <v>15</v>
      </c>
      <c r="M37" s="174">
        <f>SUM(M16:M36)</f>
        <v>6553769</v>
      </c>
      <c r="N37" s="144" t="s">
        <v>15</v>
      </c>
      <c r="O37" s="174">
        <f>SUM(O16:O36)</f>
        <v>0</v>
      </c>
      <c r="P37" s="963"/>
    </row>
    <row r="38" spans="1:17" ht="12.6" customHeight="1">
      <c r="A38" s="97" t="s">
        <v>282</v>
      </c>
      <c r="B38" s="98"/>
      <c r="C38" s="102"/>
      <c r="D38" s="120"/>
      <c r="E38" s="117"/>
      <c r="F38" s="120"/>
      <c r="G38" s="117"/>
      <c r="H38" s="120"/>
      <c r="I38" s="117"/>
      <c r="J38" s="120"/>
      <c r="K38" s="117"/>
      <c r="L38" s="120"/>
      <c r="M38" s="117"/>
      <c r="N38" s="120"/>
      <c r="O38" s="117"/>
    </row>
    <row r="39" spans="1:17" ht="12.6" customHeight="1">
      <c r="A39" s="101" t="s">
        <v>41</v>
      </c>
      <c r="B39" s="98"/>
      <c r="C39" s="102" t="s">
        <v>126</v>
      </c>
      <c r="D39" s="100" t="s">
        <v>15</v>
      </c>
      <c r="E39" s="7">
        <v>161956</v>
      </c>
      <c r="F39" s="100" t="s">
        <v>15</v>
      </c>
      <c r="G39" s="7">
        <v>168000</v>
      </c>
      <c r="H39" s="100" t="s">
        <v>15</v>
      </c>
      <c r="I39" s="7">
        <f>K39-G39</f>
        <v>152000</v>
      </c>
      <c r="J39" s="100" t="s">
        <v>15</v>
      </c>
      <c r="K39" s="7">
        <v>320000</v>
      </c>
      <c r="L39" s="100" t="s">
        <v>15</v>
      </c>
      <c r="M39" s="7">
        <v>200000</v>
      </c>
      <c r="N39" s="104" t="s">
        <v>15</v>
      </c>
      <c r="O39" s="105">
        <f>M39-K39</f>
        <v>-120000</v>
      </c>
      <c r="P39" s="963">
        <f>M39-K39</f>
        <v>-120000</v>
      </c>
    </row>
    <row r="40" spans="1:17" ht="12.6" customHeight="1">
      <c r="A40" s="101" t="s">
        <v>42</v>
      </c>
      <c r="B40" s="98"/>
      <c r="C40" s="102" t="s">
        <v>127</v>
      </c>
      <c r="D40" s="100"/>
      <c r="E40" s="7">
        <v>33800</v>
      </c>
      <c r="F40" s="100"/>
      <c r="G40" s="7">
        <v>131362</v>
      </c>
      <c r="H40" s="100"/>
      <c r="I40" s="7">
        <f t="shared" ref="I40:I51" si="1">K40-G40</f>
        <v>268638</v>
      </c>
      <c r="J40" s="100"/>
      <c r="K40" s="7">
        <v>400000</v>
      </c>
      <c r="L40" s="100"/>
      <c r="M40" s="7">
        <v>300000</v>
      </c>
      <c r="N40" s="748"/>
      <c r="O40" s="105">
        <f t="shared" ref="O40:O47" si="2">M40-K40</f>
        <v>-100000</v>
      </c>
      <c r="P40" s="963">
        <f t="shared" ref="P40:P66" si="3">M40-K40</f>
        <v>-100000</v>
      </c>
    </row>
    <row r="41" spans="1:17" ht="12.6" customHeight="1">
      <c r="A41" s="101" t="s">
        <v>28</v>
      </c>
      <c r="B41" s="98"/>
      <c r="C41" s="102" t="s">
        <v>128</v>
      </c>
      <c r="D41" s="100"/>
      <c r="E41" s="7">
        <v>194904.57</v>
      </c>
      <c r="F41" s="100"/>
      <c r="G41" s="7">
        <v>42685</v>
      </c>
      <c r="H41" s="100"/>
      <c r="I41" s="7">
        <f t="shared" si="1"/>
        <v>457315</v>
      </c>
      <c r="J41" s="100"/>
      <c r="K41" s="7">
        <v>500000</v>
      </c>
      <c r="L41" s="100"/>
      <c r="M41" s="7">
        <v>350000</v>
      </c>
      <c r="N41" s="748"/>
      <c r="O41" s="105">
        <f t="shared" si="2"/>
        <v>-150000</v>
      </c>
      <c r="P41" s="963">
        <f t="shared" si="3"/>
        <v>-150000</v>
      </c>
    </row>
    <row r="42" spans="1:17" ht="12.6" customHeight="1">
      <c r="A42" s="101" t="s">
        <v>130</v>
      </c>
      <c r="B42" s="98"/>
      <c r="C42" s="102" t="s">
        <v>129</v>
      </c>
      <c r="D42" s="100"/>
      <c r="E42" s="7">
        <v>134575</v>
      </c>
      <c r="F42" s="100"/>
      <c r="G42" s="7">
        <v>66795.7</v>
      </c>
      <c r="H42" s="100"/>
      <c r="I42" s="7">
        <f>K42-G42</f>
        <v>233204.3</v>
      </c>
      <c r="J42" s="100"/>
      <c r="K42" s="7">
        <v>300000</v>
      </c>
      <c r="L42" s="100"/>
      <c r="M42" s="7">
        <v>400000</v>
      </c>
      <c r="N42" s="748"/>
      <c r="O42" s="105">
        <f t="shared" si="2"/>
        <v>100000</v>
      </c>
      <c r="P42" s="963">
        <f t="shared" si="3"/>
        <v>100000</v>
      </c>
    </row>
    <row r="43" spans="1:17" ht="12" customHeight="1">
      <c r="A43" s="101" t="s">
        <v>497</v>
      </c>
      <c r="B43" s="98"/>
      <c r="C43" s="102" t="s">
        <v>174</v>
      </c>
      <c r="D43" s="111"/>
      <c r="E43" s="7">
        <v>93529.3</v>
      </c>
      <c r="F43" s="111"/>
      <c r="G43" s="7">
        <v>50000</v>
      </c>
      <c r="H43" s="111"/>
      <c r="I43" s="7">
        <f>K43-G43</f>
        <v>75000</v>
      </c>
      <c r="J43" s="111"/>
      <c r="K43" s="7">
        <v>125000</v>
      </c>
      <c r="L43" s="100"/>
      <c r="M43" s="7">
        <v>100000</v>
      </c>
      <c r="N43" s="748"/>
      <c r="O43" s="105">
        <f t="shared" si="2"/>
        <v>-25000</v>
      </c>
      <c r="P43" s="963">
        <f t="shared" si="3"/>
        <v>-25000</v>
      </c>
      <c r="Q43" s="963">
        <f>M43*0.1</f>
        <v>10000</v>
      </c>
    </row>
    <row r="44" spans="1:17" ht="12.6" customHeight="1">
      <c r="A44" s="101" t="s">
        <v>163</v>
      </c>
      <c r="B44" s="98"/>
      <c r="C44" s="118" t="s">
        <v>133</v>
      </c>
      <c r="D44" s="100"/>
      <c r="E44" s="7">
        <v>30000</v>
      </c>
      <c r="F44" s="100"/>
      <c r="G44" s="7">
        <v>15000</v>
      </c>
      <c r="H44" s="100"/>
      <c r="I44" s="7">
        <f t="shared" si="1"/>
        <v>25000</v>
      </c>
      <c r="J44" s="100"/>
      <c r="K44" s="7">
        <v>40000</v>
      </c>
      <c r="L44" s="100"/>
      <c r="M44" s="7">
        <v>40000</v>
      </c>
      <c r="N44" s="748"/>
      <c r="O44" s="105">
        <f t="shared" si="2"/>
        <v>0</v>
      </c>
      <c r="P44" s="963">
        <f t="shared" si="3"/>
        <v>0</v>
      </c>
    </row>
    <row r="45" spans="1:17" ht="12.6" customHeight="1">
      <c r="A45" s="101" t="s">
        <v>135</v>
      </c>
      <c r="B45" s="98"/>
      <c r="C45" s="102" t="s">
        <v>134</v>
      </c>
      <c r="D45" s="100"/>
      <c r="E45" s="7">
        <v>40409.81</v>
      </c>
      <c r="F45" s="100"/>
      <c r="G45" s="7">
        <v>19036</v>
      </c>
      <c r="H45" s="100"/>
      <c r="I45" s="7">
        <f t="shared" si="1"/>
        <v>28964</v>
      </c>
      <c r="J45" s="100"/>
      <c r="K45" s="7">
        <v>48000</v>
      </c>
      <c r="L45" s="100"/>
      <c r="M45" s="7">
        <v>48000</v>
      </c>
      <c r="N45" s="748"/>
      <c r="O45" s="105">
        <f t="shared" si="2"/>
        <v>0</v>
      </c>
      <c r="P45" s="963">
        <f t="shared" si="3"/>
        <v>0</v>
      </c>
    </row>
    <row r="46" spans="1:17" ht="12" customHeight="1">
      <c r="A46" s="101" t="s">
        <v>138</v>
      </c>
      <c r="B46" s="98"/>
      <c r="C46" s="102" t="s">
        <v>137</v>
      </c>
      <c r="D46" s="100"/>
      <c r="E46" s="7">
        <v>5012</v>
      </c>
      <c r="F46" s="111"/>
      <c r="G46" s="7">
        <v>0</v>
      </c>
      <c r="H46" s="111"/>
      <c r="I46" s="7">
        <f t="shared" si="1"/>
        <v>100000</v>
      </c>
      <c r="J46" s="111"/>
      <c r="K46" s="7">
        <v>100000</v>
      </c>
      <c r="L46" s="100"/>
      <c r="M46" s="7">
        <v>50000</v>
      </c>
      <c r="N46" s="748"/>
      <c r="O46" s="105">
        <f t="shared" si="2"/>
        <v>-50000</v>
      </c>
      <c r="P46" s="963">
        <f t="shared" si="3"/>
        <v>-50000</v>
      </c>
      <c r="Q46" s="963">
        <f>M46*0.1</f>
        <v>5000</v>
      </c>
    </row>
    <row r="47" spans="1:17" ht="12.6" customHeight="1">
      <c r="A47" s="101" t="s">
        <v>142</v>
      </c>
      <c r="B47" s="98"/>
      <c r="C47" s="118" t="s">
        <v>141</v>
      </c>
      <c r="D47" s="100"/>
      <c r="E47" s="7">
        <v>9328</v>
      </c>
      <c r="F47" s="100"/>
      <c r="G47" s="7">
        <v>9647</v>
      </c>
      <c r="H47" s="100"/>
      <c r="I47" s="7">
        <f t="shared" si="1"/>
        <v>240353</v>
      </c>
      <c r="J47" s="100"/>
      <c r="K47" s="7">
        <v>250000</v>
      </c>
      <c r="L47" s="100"/>
      <c r="M47" s="7">
        <v>150000</v>
      </c>
      <c r="N47" s="748"/>
      <c r="O47" s="105">
        <f t="shared" si="2"/>
        <v>-100000</v>
      </c>
      <c r="P47" s="963">
        <f t="shared" si="3"/>
        <v>-100000</v>
      </c>
    </row>
    <row r="48" spans="1:17" ht="12.6" customHeight="1">
      <c r="A48" s="101" t="s">
        <v>145</v>
      </c>
      <c r="B48" s="98"/>
      <c r="C48" s="102" t="s">
        <v>144</v>
      </c>
      <c r="D48" s="100"/>
      <c r="E48" s="7">
        <v>137883.89000000001</v>
      </c>
      <c r="F48" s="100"/>
      <c r="G48" s="7">
        <v>50750.54</v>
      </c>
      <c r="H48" s="100"/>
      <c r="I48" s="7">
        <f t="shared" si="1"/>
        <v>149249.46</v>
      </c>
      <c r="J48" s="100"/>
      <c r="K48" s="7">
        <v>200000</v>
      </c>
      <c r="L48" s="100"/>
      <c r="M48" s="7">
        <v>150000</v>
      </c>
      <c r="N48" s="748"/>
      <c r="O48" s="105">
        <f>M48-K48</f>
        <v>-50000</v>
      </c>
      <c r="P48" s="963">
        <f t="shared" si="3"/>
        <v>-50000</v>
      </c>
    </row>
    <row r="49" spans="1:16" ht="12.6" customHeight="1">
      <c r="A49" s="101" t="s">
        <v>749</v>
      </c>
      <c r="B49" s="98"/>
      <c r="C49" s="102" t="s">
        <v>557</v>
      </c>
      <c r="D49" s="100"/>
      <c r="E49" s="7"/>
      <c r="F49" s="100"/>
      <c r="G49" s="7"/>
      <c r="H49" s="100"/>
      <c r="I49" s="7">
        <f t="shared" si="1"/>
        <v>0</v>
      </c>
      <c r="J49" s="100"/>
      <c r="K49" s="7">
        <v>0</v>
      </c>
      <c r="L49" s="100"/>
      <c r="M49" s="7"/>
      <c r="N49" s="748"/>
      <c r="O49" s="749">
        <v>0</v>
      </c>
      <c r="P49" s="963"/>
    </row>
    <row r="50" spans="1:16" ht="12.6" customHeight="1">
      <c r="A50" s="101" t="s">
        <v>33</v>
      </c>
      <c r="B50" s="119"/>
      <c r="C50" s="102" t="s">
        <v>148</v>
      </c>
      <c r="D50" s="100"/>
      <c r="E50" s="157"/>
      <c r="F50" s="100"/>
      <c r="G50" s="157"/>
      <c r="H50" s="100"/>
      <c r="I50" s="7"/>
      <c r="J50" s="100"/>
      <c r="K50" s="7"/>
      <c r="L50" s="100"/>
      <c r="M50" s="7"/>
      <c r="N50" s="748"/>
      <c r="O50" s="749"/>
      <c r="P50" s="963">
        <f t="shared" si="3"/>
        <v>0</v>
      </c>
    </row>
    <row r="51" spans="1:16" ht="12.6" customHeight="1">
      <c r="A51" s="101"/>
      <c r="B51" s="7" t="s">
        <v>342</v>
      </c>
      <c r="C51" s="102"/>
      <c r="D51" s="100"/>
      <c r="E51" s="7">
        <v>635824.81999999995</v>
      </c>
      <c r="F51" s="100"/>
      <c r="G51" s="7">
        <v>309537.40000000002</v>
      </c>
      <c r="H51" s="100"/>
      <c r="I51" s="7">
        <f t="shared" si="1"/>
        <v>340462.6</v>
      </c>
      <c r="J51" s="100"/>
      <c r="K51" s="7">
        <v>650000</v>
      </c>
      <c r="L51" s="100"/>
      <c r="M51" s="7">
        <v>745000</v>
      </c>
      <c r="N51" s="748"/>
      <c r="O51" s="105">
        <f>M51-K51</f>
        <v>95000</v>
      </c>
      <c r="P51" s="963">
        <f t="shared" si="3"/>
        <v>95000</v>
      </c>
    </row>
    <row r="52" spans="1:16" ht="12.6" customHeight="1">
      <c r="A52" s="101"/>
      <c r="B52" s="7" t="s">
        <v>1117</v>
      </c>
      <c r="C52" s="102"/>
      <c r="D52" s="100"/>
      <c r="E52" s="157">
        <v>0</v>
      </c>
      <c r="F52" s="100"/>
      <c r="G52" s="157">
        <v>0</v>
      </c>
      <c r="H52" s="100"/>
      <c r="I52" s="7">
        <f>K52-G52</f>
        <v>0</v>
      </c>
      <c r="J52" s="100"/>
      <c r="K52" s="7">
        <v>0</v>
      </c>
      <c r="L52" s="100"/>
      <c r="M52" s="7"/>
      <c r="N52" s="748"/>
      <c r="O52" s="749">
        <v>0</v>
      </c>
      <c r="P52" s="963">
        <f t="shared" si="3"/>
        <v>0</v>
      </c>
    </row>
    <row r="53" spans="1:16" ht="12.6" customHeight="1">
      <c r="A53" s="101"/>
      <c r="B53" s="7" t="s">
        <v>1151</v>
      </c>
      <c r="C53" s="102"/>
      <c r="D53" s="100"/>
      <c r="E53" s="157">
        <v>39310.449999999997</v>
      </c>
      <c r="F53" s="100"/>
      <c r="G53" s="157">
        <v>9360.7999999999993</v>
      </c>
      <c r="H53" s="100"/>
      <c r="I53" s="7">
        <f>K53-G53</f>
        <v>40639.199999999997</v>
      </c>
      <c r="J53" s="100"/>
      <c r="K53" s="7">
        <v>50000</v>
      </c>
      <c r="L53" s="100"/>
      <c r="M53" s="7">
        <v>50000</v>
      </c>
      <c r="N53" s="748"/>
      <c r="O53" s="105">
        <f>M53-K53</f>
        <v>0</v>
      </c>
      <c r="P53" s="963">
        <f t="shared" si="3"/>
        <v>0</v>
      </c>
    </row>
    <row r="54" spans="1:16" ht="12.6" customHeight="1">
      <c r="A54" s="101"/>
      <c r="B54" s="7" t="s">
        <v>760</v>
      </c>
      <c r="C54" s="102"/>
      <c r="D54" s="100"/>
      <c r="E54" s="157"/>
      <c r="F54" s="100"/>
      <c r="G54" s="157"/>
      <c r="H54" s="100"/>
      <c r="I54" s="7"/>
      <c r="J54" s="100"/>
      <c r="K54" s="7"/>
      <c r="L54" s="100"/>
      <c r="M54" s="7"/>
      <c r="N54" s="748"/>
      <c r="O54" s="749"/>
      <c r="P54" s="963">
        <f t="shared" si="3"/>
        <v>0</v>
      </c>
    </row>
    <row r="55" spans="1:16" ht="12.6" customHeight="1">
      <c r="A55" s="101"/>
      <c r="B55" s="7" t="s">
        <v>566</v>
      </c>
      <c r="C55" s="102"/>
      <c r="D55" s="100"/>
      <c r="E55" s="157">
        <v>26480</v>
      </c>
      <c r="F55" s="100"/>
      <c r="G55" s="157">
        <v>20000</v>
      </c>
      <c r="H55" s="100"/>
      <c r="I55" s="7">
        <f t="shared" ref="I55" si="4">K55-G55</f>
        <v>30000</v>
      </c>
      <c r="J55" s="100"/>
      <c r="K55" s="7">
        <v>50000</v>
      </c>
      <c r="L55" s="100"/>
      <c r="M55" s="7">
        <v>50000</v>
      </c>
      <c r="N55" s="748"/>
      <c r="O55" s="105">
        <f>M55-K55</f>
        <v>0</v>
      </c>
      <c r="P55" s="963">
        <f t="shared" si="3"/>
        <v>0</v>
      </c>
    </row>
    <row r="56" spans="1:16" ht="12.6" customHeight="1">
      <c r="A56" s="101"/>
      <c r="B56" s="7" t="s">
        <v>565</v>
      </c>
      <c r="C56" s="102"/>
      <c r="D56" s="100"/>
      <c r="E56" s="157"/>
      <c r="F56" s="100"/>
      <c r="G56" s="157"/>
      <c r="H56" s="100"/>
      <c r="I56" s="7"/>
      <c r="J56" s="100"/>
      <c r="K56" s="7"/>
      <c r="L56" s="100"/>
      <c r="M56" s="7"/>
      <c r="N56" s="748"/>
      <c r="O56" s="749"/>
      <c r="P56" s="963">
        <f t="shared" si="3"/>
        <v>0</v>
      </c>
    </row>
    <row r="57" spans="1:16" ht="12.6" customHeight="1">
      <c r="A57" s="101"/>
      <c r="B57" s="7" t="s">
        <v>566</v>
      </c>
      <c r="C57" s="102"/>
      <c r="D57" s="100"/>
      <c r="E57" s="7">
        <v>265756.5</v>
      </c>
      <c r="F57" s="100"/>
      <c r="G57" s="7">
        <v>0</v>
      </c>
      <c r="H57" s="100"/>
      <c r="I57" s="7">
        <f t="shared" ref="I57" si="5">K57-G57</f>
        <v>350000</v>
      </c>
      <c r="J57" s="100"/>
      <c r="K57" s="7">
        <v>350000</v>
      </c>
      <c r="L57" s="100"/>
      <c r="M57" s="7">
        <v>350000</v>
      </c>
      <c r="N57" s="748"/>
      <c r="O57" s="105">
        <f>M57-K57</f>
        <v>0</v>
      </c>
      <c r="P57" s="963">
        <f t="shared" si="3"/>
        <v>0</v>
      </c>
    </row>
    <row r="58" spans="1:16" ht="12.6" customHeight="1">
      <c r="A58" s="101"/>
      <c r="B58" s="7" t="s">
        <v>567</v>
      </c>
      <c r="C58" s="102"/>
      <c r="D58" s="100"/>
      <c r="E58" s="157"/>
      <c r="F58" s="100"/>
      <c r="G58" s="157"/>
      <c r="H58" s="100"/>
      <c r="I58" s="7"/>
      <c r="J58" s="100"/>
      <c r="K58" s="7"/>
      <c r="L58" s="100"/>
      <c r="M58" s="7"/>
      <c r="N58" s="748"/>
      <c r="O58" s="749"/>
      <c r="P58" s="963">
        <f t="shared" si="3"/>
        <v>0</v>
      </c>
    </row>
    <row r="59" spans="1:16" ht="12.6" customHeight="1">
      <c r="A59" s="101"/>
      <c r="B59" s="7" t="s">
        <v>568</v>
      </c>
      <c r="C59" s="102"/>
      <c r="D59" s="100"/>
      <c r="E59" s="7">
        <v>131254.59</v>
      </c>
      <c r="F59" s="100"/>
      <c r="G59" s="7">
        <v>0</v>
      </c>
      <c r="H59" s="100"/>
      <c r="I59" s="7">
        <f t="shared" ref="I59" si="6">K59-G59</f>
        <v>300000</v>
      </c>
      <c r="J59" s="100"/>
      <c r="K59" s="7">
        <v>300000</v>
      </c>
      <c r="L59" s="100"/>
      <c r="M59" s="7">
        <v>271000</v>
      </c>
      <c r="N59" s="748"/>
      <c r="O59" s="105">
        <f>M59-K59</f>
        <v>-29000</v>
      </c>
      <c r="P59" s="963">
        <f t="shared" si="3"/>
        <v>-29000</v>
      </c>
    </row>
    <row r="60" spans="1:16" ht="12.6" customHeight="1">
      <c r="A60" s="101"/>
      <c r="B60" s="7" t="s">
        <v>569</v>
      </c>
      <c r="C60" s="102"/>
      <c r="D60" s="100"/>
      <c r="E60" s="157"/>
      <c r="F60" s="100"/>
      <c r="G60" s="157"/>
      <c r="H60" s="100"/>
      <c r="I60" s="7"/>
      <c r="J60" s="100"/>
      <c r="K60" s="7"/>
      <c r="L60" s="100"/>
      <c r="M60" s="7"/>
      <c r="N60" s="748"/>
      <c r="O60" s="749"/>
      <c r="P60" s="963">
        <f t="shared" si="3"/>
        <v>0</v>
      </c>
    </row>
    <row r="61" spans="1:16" ht="12.6" customHeight="1">
      <c r="A61" s="101"/>
      <c r="B61" s="7" t="s">
        <v>570</v>
      </c>
      <c r="C61" s="102"/>
      <c r="D61" s="100"/>
      <c r="E61" s="157">
        <v>40000</v>
      </c>
      <c r="F61" s="100"/>
      <c r="G61" s="157">
        <v>0</v>
      </c>
      <c r="H61" s="100"/>
      <c r="I61" s="7">
        <f t="shared" ref="I61" si="7">K61-G61</f>
        <v>50000</v>
      </c>
      <c r="J61" s="100"/>
      <c r="K61" s="7">
        <v>50000</v>
      </c>
      <c r="L61" s="100"/>
      <c r="M61" s="7">
        <v>50000</v>
      </c>
      <c r="N61" s="748"/>
      <c r="O61" s="105">
        <f>M61-K61</f>
        <v>0</v>
      </c>
      <c r="P61" s="963">
        <f t="shared" si="3"/>
        <v>0</v>
      </c>
    </row>
    <row r="62" spans="1:16" ht="12.6" customHeight="1">
      <c r="A62" s="101"/>
      <c r="B62" s="7" t="s">
        <v>567</v>
      </c>
      <c r="C62" s="102"/>
      <c r="D62" s="100"/>
      <c r="E62" s="157"/>
      <c r="F62" s="100"/>
      <c r="G62" s="157"/>
      <c r="H62" s="100"/>
      <c r="I62" s="7"/>
      <c r="J62" s="100"/>
      <c r="K62" s="7"/>
      <c r="L62" s="100"/>
      <c r="M62" s="7"/>
      <c r="N62" s="748"/>
      <c r="O62" s="749"/>
      <c r="P62" s="963">
        <f t="shared" si="3"/>
        <v>0</v>
      </c>
    </row>
    <row r="63" spans="1:16" ht="12.6" customHeight="1">
      <c r="A63" s="101"/>
      <c r="B63" s="7" t="s">
        <v>571</v>
      </c>
      <c r="C63" s="102"/>
      <c r="D63" s="100"/>
      <c r="E63" s="157">
        <v>13632.65</v>
      </c>
      <c r="F63" s="100"/>
      <c r="G63" s="157">
        <v>0</v>
      </c>
      <c r="H63" s="100"/>
      <c r="I63" s="7">
        <f t="shared" ref="I63" si="8">K63-G63</f>
        <v>30000</v>
      </c>
      <c r="J63" s="100"/>
      <c r="K63" s="7">
        <v>30000</v>
      </c>
      <c r="L63" s="100"/>
      <c r="M63" s="7">
        <v>30000</v>
      </c>
      <c r="N63" s="748"/>
      <c r="O63" s="105">
        <f>M63-K63</f>
        <v>0</v>
      </c>
      <c r="P63" s="963">
        <f t="shared" si="3"/>
        <v>0</v>
      </c>
    </row>
    <row r="64" spans="1:16" ht="12.6" customHeight="1">
      <c r="A64" s="101"/>
      <c r="B64" s="7" t="s">
        <v>92</v>
      </c>
      <c r="C64" s="102"/>
      <c r="D64" s="100"/>
      <c r="E64" s="157">
        <v>0</v>
      </c>
      <c r="F64" s="100"/>
      <c r="G64" s="157"/>
      <c r="H64" s="100"/>
      <c r="I64" s="7">
        <f>K64-G64</f>
        <v>0</v>
      </c>
      <c r="J64" s="100"/>
      <c r="K64" s="7">
        <v>0</v>
      </c>
      <c r="L64" s="100"/>
      <c r="M64" s="7"/>
      <c r="N64" s="748"/>
      <c r="O64" s="749">
        <v>0</v>
      </c>
      <c r="P64" s="963">
        <f t="shared" si="3"/>
        <v>0</v>
      </c>
    </row>
    <row r="65" spans="1:17" ht="12" customHeight="1">
      <c r="A65" s="101"/>
      <c r="B65" s="7" t="s">
        <v>499</v>
      </c>
      <c r="C65" s="102"/>
      <c r="D65" s="100"/>
      <c r="E65" s="7">
        <v>54826.25</v>
      </c>
      <c r="F65" s="111"/>
      <c r="G65" s="7">
        <v>5036</v>
      </c>
      <c r="H65" s="111"/>
      <c r="I65" s="7">
        <f t="shared" ref="I65:I66" si="9">K65-G65</f>
        <v>94964</v>
      </c>
      <c r="J65" s="111"/>
      <c r="K65" s="7">
        <v>100000</v>
      </c>
      <c r="L65" s="100"/>
      <c r="M65" s="7">
        <v>100000</v>
      </c>
      <c r="N65" s="748"/>
      <c r="O65" s="105">
        <f t="shared" ref="O65:O66" si="10">M65-K65</f>
        <v>0</v>
      </c>
      <c r="P65" s="963">
        <f t="shared" si="3"/>
        <v>0</v>
      </c>
      <c r="Q65" s="963">
        <f>M65*0.1</f>
        <v>10000</v>
      </c>
    </row>
    <row r="66" spans="1:17" ht="12" customHeight="1">
      <c r="A66" s="101"/>
      <c r="B66" s="7" t="s">
        <v>601</v>
      </c>
      <c r="C66" s="102"/>
      <c r="D66" s="100"/>
      <c r="E66" s="7">
        <v>63000</v>
      </c>
      <c r="F66" s="111"/>
      <c r="G66" s="7">
        <v>71900.2</v>
      </c>
      <c r="H66" s="111"/>
      <c r="I66" s="7">
        <f t="shared" si="9"/>
        <v>33099.800000000003</v>
      </c>
      <c r="J66" s="111"/>
      <c r="K66" s="105">
        <v>105000</v>
      </c>
      <c r="L66" s="104"/>
      <c r="M66" s="105">
        <v>55000</v>
      </c>
      <c r="N66" s="748"/>
      <c r="O66" s="105">
        <f t="shared" si="10"/>
        <v>-50000</v>
      </c>
      <c r="P66" s="963">
        <f t="shared" si="3"/>
        <v>-50000</v>
      </c>
      <c r="Q66" s="963"/>
    </row>
    <row r="67" spans="1:17" ht="12.6" customHeight="1">
      <c r="A67" s="1336" t="s">
        <v>13</v>
      </c>
      <c r="B67" s="1337"/>
      <c r="C67" s="113"/>
      <c r="D67" s="109" t="s">
        <v>15</v>
      </c>
      <c r="E67" s="110">
        <f>SUM(E39:E66)</f>
        <v>2111483.83</v>
      </c>
      <c r="F67" s="109" t="s">
        <v>15</v>
      </c>
      <c r="G67" s="110">
        <f>SUM(G39:G66)</f>
        <v>969110.64</v>
      </c>
      <c r="H67" s="109" t="s">
        <v>15</v>
      </c>
      <c r="I67" s="110">
        <f>SUM(I39:I66)</f>
        <v>2998889.36</v>
      </c>
      <c r="J67" s="109" t="s">
        <v>15</v>
      </c>
      <c r="K67" s="110">
        <f>SUM(K39:K66)</f>
        <v>3968000</v>
      </c>
      <c r="L67" s="109" t="s">
        <v>15</v>
      </c>
      <c r="M67" s="110">
        <f>SUM(M39:M66)</f>
        <v>3489000</v>
      </c>
      <c r="N67" s="109" t="s">
        <v>15</v>
      </c>
      <c r="O67" s="110">
        <f>SUM(O39:O66)</f>
        <v>-479000</v>
      </c>
      <c r="P67" s="1033">
        <f>SUM(P39:P66)</f>
        <v>-479000</v>
      </c>
    </row>
    <row r="68" spans="1:17" ht="12.6" customHeight="1">
      <c r="A68" s="283"/>
      <c r="B68" s="283"/>
      <c r="C68" s="145"/>
      <c r="D68" s="146"/>
      <c r="E68" s="218"/>
      <c r="F68" s="146"/>
      <c r="G68" s="218"/>
      <c r="H68" s="146"/>
      <c r="I68" s="218"/>
      <c r="J68" s="146"/>
      <c r="K68" s="218"/>
      <c r="L68" s="146"/>
      <c r="M68" s="218"/>
      <c r="N68" s="146"/>
      <c r="O68" s="218"/>
      <c r="P68" s="1039"/>
    </row>
    <row r="69" spans="1:17" ht="12.6" customHeight="1">
      <c r="A69" s="173" t="s">
        <v>283</v>
      </c>
      <c r="B69" s="797"/>
      <c r="C69" s="798"/>
      <c r="D69" s="144"/>
      <c r="E69" s="174"/>
      <c r="F69" s="144"/>
      <c r="G69" s="174"/>
      <c r="H69" s="144"/>
      <c r="I69" s="174"/>
      <c r="J69" s="144"/>
      <c r="K69" s="174"/>
      <c r="L69" s="144"/>
      <c r="M69" s="174"/>
      <c r="N69" s="144"/>
      <c r="O69" s="174"/>
    </row>
    <row r="70" spans="1:17" ht="12.6" customHeight="1">
      <c r="A70" s="124" t="s">
        <v>51</v>
      </c>
      <c r="B70" s="817"/>
      <c r="C70" s="102" t="s">
        <v>149</v>
      </c>
      <c r="D70" s="100" t="s">
        <v>15</v>
      </c>
      <c r="E70" s="7"/>
      <c r="F70" s="100" t="s">
        <v>15</v>
      </c>
      <c r="G70" s="7"/>
      <c r="H70" s="100" t="s">
        <v>15</v>
      </c>
      <c r="I70" s="7">
        <f t="shared" ref="I70:I76" si="11">K70-G70</f>
        <v>0</v>
      </c>
      <c r="J70" s="100" t="s">
        <v>15</v>
      </c>
      <c r="K70" s="7">
        <v>0</v>
      </c>
      <c r="L70" s="100" t="s">
        <v>15</v>
      </c>
      <c r="M70" s="7"/>
      <c r="N70" s="104" t="s">
        <v>15</v>
      </c>
      <c r="O70" s="105"/>
    </row>
    <row r="71" spans="1:17" ht="12.6" customHeight="1">
      <c r="A71" s="124" t="s">
        <v>1067</v>
      </c>
      <c r="B71" s="878"/>
      <c r="C71" s="102"/>
      <c r="D71" s="100"/>
      <c r="E71" s="7"/>
      <c r="F71" s="100"/>
      <c r="G71" s="7">
        <v>0</v>
      </c>
      <c r="H71" s="100"/>
      <c r="I71" s="7">
        <f t="shared" si="11"/>
        <v>30000</v>
      </c>
      <c r="J71" s="100"/>
      <c r="K71" s="7">
        <v>30000</v>
      </c>
      <c r="L71" s="100"/>
      <c r="M71" s="7">
        <v>0</v>
      </c>
      <c r="N71" s="104"/>
      <c r="O71" s="105">
        <v>0</v>
      </c>
    </row>
    <row r="72" spans="1:17" ht="12.6" customHeight="1">
      <c r="A72" s="124" t="s">
        <v>152</v>
      </c>
      <c r="B72" s="878"/>
      <c r="C72" s="102" t="s">
        <v>150</v>
      </c>
      <c r="D72" s="100" t="s">
        <v>15</v>
      </c>
      <c r="E72" s="7"/>
      <c r="F72" s="100" t="s">
        <v>15</v>
      </c>
      <c r="G72" s="7"/>
      <c r="H72" s="100" t="s">
        <v>15</v>
      </c>
      <c r="I72" s="7">
        <f t="shared" si="11"/>
        <v>0</v>
      </c>
      <c r="J72" s="100" t="s">
        <v>15</v>
      </c>
      <c r="K72" s="7">
        <v>0</v>
      </c>
      <c r="L72" s="100" t="s">
        <v>15</v>
      </c>
      <c r="M72" s="7"/>
      <c r="N72" s="104" t="s">
        <v>15</v>
      </c>
      <c r="O72" s="105"/>
    </row>
    <row r="73" spans="1:17" ht="12.6" customHeight="1">
      <c r="A73" s="124" t="s">
        <v>1327</v>
      </c>
      <c r="B73" s="878"/>
      <c r="C73" s="102"/>
      <c r="D73" s="100"/>
      <c r="E73" s="7">
        <v>48999</v>
      </c>
      <c r="F73" s="100"/>
      <c r="G73" s="7">
        <v>0</v>
      </c>
      <c r="H73" s="100"/>
      <c r="I73" s="7">
        <f t="shared" si="11"/>
        <v>0</v>
      </c>
      <c r="J73" s="100"/>
      <c r="K73" s="7">
        <v>0</v>
      </c>
      <c r="L73" s="100"/>
      <c r="M73" s="7">
        <v>0</v>
      </c>
      <c r="N73" s="104"/>
      <c r="O73" s="105">
        <v>0</v>
      </c>
    </row>
    <row r="74" spans="1:17" ht="12.6" customHeight="1">
      <c r="A74" s="124" t="s">
        <v>1122</v>
      </c>
      <c r="B74" s="817"/>
      <c r="C74" s="102"/>
      <c r="D74" s="100"/>
      <c r="E74" s="7">
        <v>29300</v>
      </c>
      <c r="F74" s="100"/>
      <c r="G74" s="7">
        <v>0</v>
      </c>
      <c r="H74" s="100"/>
      <c r="I74" s="7">
        <f t="shared" si="11"/>
        <v>0</v>
      </c>
      <c r="J74" s="100"/>
      <c r="K74" s="7">
        <v>0</v>
      </c>
      <c r="L74" s="100"/>
      <c r="M74" s="7">
        <v>0</v>
      </c>
      <c r="N74" s="104"/>
      <c r="O74" s="105">
        <v>0</v>
      </c>
    </row>
    <row r="75" spans="1:17" ht="12.6" customHeight="1">
      <c r="A75" s="124" t="s">
        <v>409</v>
      </c>
      <c r="B75" s="817"/>
      <c r="C75" s="102" t="s">
        <v>151</v>
      </c>
      <c r="D75" s="122"/>
      <c r="E75" s="7"/>
      <c r="F75" s="122"/>
      <c r="G75" s="7"/>
      <c r="H75" s="122"/>
      <c r="I75" s="7">
        <f t="shared" si="11"/>
        <v>0</v>
      </c>
      <c r="J75" s="122"/>
      <c r="K75" s="7"/>
      <c r="L75" s="100"/>
      <c r="M75" s="7"/>
      <c r="N75" s="748"/>
      <c r="O75" s="749"/>
    </row>
    <row r="76" spans="1:17" ht="12.6" customHeight="1">
      <c r="A76" s="124" t="s">
        <v>1207</v>
      </c>
      <c r="B76" s="829"/>
      <c r="C76" s="102"/>
      <c r="D76" s="122"/>
      <c r="E76" s="7">
        <v>49950</v>
      </c>
      <c r="F76" s="122"/>
      <c r="G76" s="7">
        <v>0</v>
      </c>
      <c r="H76" s="122"/>
      <c r="I76" s="7">
        <f t="shared" si="11"/>
        <v>60000</v>
      </c>
      <c r="J76" s="122"/>
      <c r="K76" s="7">
        <v>60000</v>
      </c>
      <c r="L76" s="100"/>
      <c r="M76" s="7">
        <v>0</v>
      </c>
      <c r="N76" s="748"/>
      <c r="O76" s="749"/>
    </row>
    <row r="77" spans="1:17" ht="12.6" customHeight="1">
      <c r="A77" s="124" t="s">
        <v>334</v>
      </c>
      <c r="B77" s="119"/>
      <c r="C77" s="102" t="s">
        <v>335</v>
      </c>
      <c r="D77" s="100"/>
      <c r="E77" s="7"/>
      <c r="F77" s="100"/>
      <c r="G77" s="7"/>
      <c r="H77" s="100"/>
      <c r="I77" s="7">
        <v>0</v>
      </c>
      <c r="J77" s="100"/>
      <c r="K77" s="105"/>
      <c r="L77" s="104"/>
      <c r="M77" s="105"/>
      <c r="N77" s="748"/>
      <c r="O77" s="749"/>
    </row>
    <row r="78" spans="1:17" ht="12.6" customHeight="1">
      <c r="A78" s="1325" t="s">
        <v>16</v>
      </c>
      <c r="B78" s="1326"/>
      <c r="C78" s="102"/>
      <c r="D78" s="109" t="s">
        <v>15</v>
      </c>
      <c r="E78" s="110">
        <f>SUM(E70:E77)</f>
        <v>128249</v>
      </c>
      <c r="F78" s="109" t="s">
        <v>15</v>
      </c>
      <c r="G78" s="110">
        <f>SUM(G70:G77)</f>
        <v>0</v>
      </c>
      <c r="H78" s="109" t="s">
        <v>15</v>
      </c>
      <c r="I78" s="110">
        <f>SUM(I70:I77)</f>
        <v>90000</v>
      </c>
      <c r="J78" s="109" t="s">
        <v>15</v>
      </c>
      <c r="K78" s="110">
        <f>SUM(K70:K77)</f>
        <v>90000</v>
      </c>
      <c r="L78" s="109" t="s">
        <v>15</v>
      </c>
      <c r="M78" s="110">
        <f>SUM(M70:M77)</f>
        <v>0</v>
      </c>
      <c r="N78" s="109" t="s">
        <v>15</v>
      </c>
      <c r="O78" s="110">
        <f>M78-K78</f>
        <v>-90000</v>
      </c>
    </row>
    <row r="79" spans="1:17" ht="6.75" customHeight="1">
      <c r="A79" s="101"/>
      <c r="B79" s="98"/>
      <c r="C79" s="102"/>
      <c r="D79" s="100"/>
      <c r="E79" s="7"/>
      <c r="F79" s="100"/>
      <c r="G79" s="7"/>
      <c r="H79" s="100"/>
      <c r="I79" s="7"/>
      <c r="J79" s="100"/>
      <c r="K79" s="7"/>
      <c r="L79" s="100"/>
      <c r="M79" s="7"/>
      <c r="N79" s="100"/>
      <c r="O79" s="7"/>
    </row>
    <row r="80" spans="1:17" ht="12.6" customHeight="1">
      <c r="A80" s="1336" t="s">
        <v>277</v>
      </c>
      <c r="B80" s="1337"/>
      <c r="C80" s="113"/>
      <c r="D80" s="125" t="s">
        <v>15</v>
      </c>
      <c r="E80" s="126">
        <f>E67+E37+E78</f>
        <v>7022943.4300000006</v>
      </c>
      <c r="F80" s="125" t="s">
        <v>15</v>
      </c>
      <c r="G80" s="126">
        <f>G78+G67+G37</f>
        <v>3442175.83</v>
      </c>
      <c r="H80" s="125" t="s">
        <v>15</v>
      </c>
      <c r="I80" s="126">
        <f>I78+I67+I37</f>
        <v>6409884.1699999999</v>
      </c>
      <c r="J80" s="125" t="s">
        <v>15</v>
      </c>
      <c r="K80" s="126">
        <f>K78+K67+K37</f>
        <v>9852060</v>
      </c>
      <c r="L80" s="125" t="s">
        <v>15</v>
      </c>
      <c r="M80" s="126">
        <f>M78+M67+M37</f>
        <v>10042769</v>
      </c>
      <c r="N80" s="125"/>
      <c r="O80" s="126"/>
    </row>
    <row r="81" spans="1:22" ht="16.5" customHeight="1">
      <c r="A81" s="62" t="s">
        <v>1623</v>
      </c>
      <c r="B81" s="289"/>
      <c r="C81" s="148"/>
      <c r="D81" s="149"/>
      <c r="E81" s="175"/>
      <c r="F81" s="149"/>
      <c r="G81" s="175"/>
      <c r="H81" s="149"/>
      <c r="I81" s="175"/>
      <c r="J81" s="149"/>
      <c r="K81" s="175"/>
      <c r="L81" s="149"/>
      <c r="M81" s="175"/>
      <c r="N81" s="149"/>
      <c r="O81" s="175"/>
    </row>
    <row r="82" spans="1:22" ht="12.6" customHeight="1">
      <c r="A82" s="289"/>
      <c r="B82" s="289"/>
      <c r="C82" s="148"/>
      <c r="D82" s="149"/>
      <c r="E82" s="175"/>
      <c r="F82" s="149"/>
      <c r="G82" s="175"/>
      <c r="H82" s="149"/>
      <c r="I82" s="175"/>
      <c r="J82" s="149"/>
      <c r="K82" s="175"/>
      <c r="L82" s="149"/>
      <c r="M82" s="175"/>
      <c r="N82" s="149"/>
      <c r="O82" s="175"/>
    </row>
    <row r="83" spans="1:22" s="127" customFormat="1">
      <c r="A83" s="127" t="s">
        <v>187</v>
      </c>
      <c r="C83" s="128" t="s">
        <v>188</v>
      </c>
      <c r="F83" s="129"/>
      <c r="I83" s="127" t="s">
        <v>190</v>
      </c>
      <c r="L83" s="129"/>
      <c r="N83" s="129"/>
      <c r="P83" s="964"/>
      <c r="Q83" s="985"/>
      <c r="R83" s="1009"/>
      <c r="S83" s="1009"/>
      <c r="T83" s="1009"/>
      <c r="U83" s="130"/>
      <c r="V83" s="130"/>
    </row>
    <row r="84" spans="1:22" ht="11.25" customHeight="1"/>
    <row r="85" spans="1:22" ht="11.25" customHeight="1"/>
    <row r="87" spans="1:22" s="89" customFormat="1">
      <c r="A87" s="1323" t="s">
        <v>1584</v>
      </c>
      <c r="B87" s="1323"/>
      <c r="C87" s="1323" t="s">
        <v>1584</v>
      </c>
      <c r="D87" s="1323"/>
      <c r="E87" s="1323"/>
      <c r="F87" s="1323"/>
      <c r="G87" s="1323"/>
      <c r="H87" s="131"/>
      <c r="I87" s="1323" t="str">
        <f>gso!I86</f>
        <v>(Sgd.) ATTY. JOSE JOEL P. DOROMAL</v>
      </c>
      <c r="J87" s="1323"/>
      <c r="K87" s="1323"/>
      <c r="L87" s="1323"/>
      <c r="M87" s="1323"/>
      <c r="N87" s="774"/>
      <c r="O87" s="774"/>
      <c r="P87" s="965"/>
      <c r="Q87" s="965"/>
      <c r="R87" s="965"/>
      <c r="S87" s="965"/>
      <c r="T87" s="965"/>
    </row>
    <row r="88" spans="1:22">
      <c r="A88" s="1322" t="s">
        <v>198</v>
      </c>
      <c r="B88" s="1322"/>
      <c r="C88" s="1322" t="s">
        <v>198</v>
      </c>
      <c r="D88" s="1322"/>
      <c r="E88" s="1322"/>
      <c r="F88" s="1322"/>
      <c r="G88" s="1322"/>
      <c r="I88" s="1322" t="s">
        <v>192</v>
      </c>
      <c r="J88" s="1322"/>
      <c r="K88" s="1322"/>
      <c r="L88" s="1322"/>
      <c r="M88" s="1322"/>
      <c r="N88" s="776"/>
      <c r="O88" s="776"/>
    </row>
    <row r="136" spans="1:14">
      <c r="A136" s="134" t="s">
        <v>222</v>
      </c>
      <c r="B136" s="92"/>
      <c r="C136" s="92"/>
      <c r="D136" s="116"/>
      <c r="E136" s="115"/>
      <c r="F136" s="86"/>
      <c r="H136" s="86"/>
      <c r="J136" s="86"/>
      <c r="L136" s="86"/>
      <c r="N136" s="86"/>
    </row>
    <row r="137" spans="1:14">
      <c r="A137" s="1324" t="s">
        <v>60</v>
      </c>
      <c r="B137" s="1311"/>
      <c r="C137" s="108"/>
      <c r="D137" s="111"/>
      <c r="E137" s="98"/>
      <c r="F137" s="86"/>
      <c r="H137" s="86"/>
      <c r="J137" s="86"/>
      <c r="L137" s="86"/>
      <c r="N137" s="86"/>
    </row>
    <row r="138" spans="1:14">
      <c r="A138" s="101" t="s">
        <v>233</v>
      </c>
      <c r="B138" s="108"/>
      <c r="C138" s="108"/>
      <c r="D138" s="111"/>
      <c r="E138" s="135" t="s">
        <v>237</v>
      </c>
      <c r="F138" s="86"/>
      <c r="H138" s="86"/>
      <c r="J138" s="86"/>
      <c r="L138" s="86"/>
      <c r="N138" s="86"/>
    </row>
    <row r="139" spans="1:14">
      <c r="A139" s="101"/>
      <c r="B139" s="108"/>
      <c r="C139" s="108"/>
      <c r="D139" s="111"/>
      <c r="E139" s="98"/>
      <c r="F139" s="86"/>
      <c r="H139" s="86"/>
      <c r="J139" s="86"/>
      <c r="L139" s="86"/>
      <c r="N139" s="86"/>
    </row>
    <row r="140" spans="1:14">
      <c r="A140" s="136" t="s">
        <v>61</v>
      </c>
      <c r="B140" s="108"/>
      <c r="C140" s="108"/>
      <c r="D140" s="111" t="s">
        <v>15</v>
      </c>
      <c r="E140" s="7">
        <v>173000</v>
      </c>
      <c r="F140" s="86"/>
      <c r="H140" s="86"/>
      <c r="J140" s="86"/>
      <c r="L140" s="86"/>
      <c r="N140" s="86"/>
    </row>
    <row r="141" spans="1:14">
      <c r="A141" s="136" t="s">
        <v>91</v>
      </c>
      <c r="B141" s="108"/>
      <c r="C141" s="108"/>
      <c r="D141" s="111"/>
      <c r="E141" s="7">
        <v>350000</v>
      </c>
      <c r="F141" s="86"/>
      <c r="H141" s="86"/>
      <c r="J141" s="86"/>
      <c r="L141" s="86"/>
      <c r="N141" s="86"/>
    </row>
    <row r="142" spans="1:14">
      <c r="A142" s="136" t="s">
        <v>92</v>
      </c>
      <c r="B142" s="108"/>
      <c r="C142" s="108"/>
      <c r="D142" s="111"/>
      <c r="E142" s="7">
        <v>150000</v>
      </c>
      <c r="F142" s="86"/>
      <c r="H142" s="86"/>
      <c r="J142" s="86"/>
      <c r="L142" s="86"/>
      <c r="N142" s="86"/>
    </row>
    <row r="143" spans="1:14" ht="15.75">
      <c r="A143" s="136" t="s">
        <v>77</v>
      </c>
      <c r="B143" s="108"/>
      <c r="C143" s="108"/>
      <c r="D143" s="111"/>
      <c r="E143" s="137">
        <v>82000</v>
      </c>
      <c r="F143" s="86"/>
      <c r="H143" s="86"/>
      <c r="J143" s="86"/>
      <c r="L143" s="86"/>
      <c r="N143" s="86"/>
    </row>
    <row r="144" spans="1:14">
      <c r="A144" s="1320" t="s">
        <v>64</v>
      </c>
      <c r="B144" s="1321"/>
      <c r="C144" s="108"/>
      <c r="D144" s="111" t="s">
        <v>15</v>
      </c>
      <c r="E144" s="7">
        <f>SUM(E140:E143)</f>
        <v>755000</v>
      </c>
      <c r="F144" s="86"/>
      <c r="H144" s="86"/>
      <c r="J144" s="86"/>
      <c r="L144" s="86"/>
      <c r="N144" s="86"/>
    </row>
    <row r="145" spans="1:14">
      <c r="A145" s="138"/>
      <c r="B145" s="90"/>
      <c r="C145" s="90"/>
      <c r="D145" s="139"/>
      <c r="E145" s="112"/>
      <c r="F145" s="86"/>
      <c r="H145" s="86"/>
      <c r="J145" s="86"/>
      <c r="L145" s="86"/>
      <c r="N145" s="86"/>
    </row>
    <row r="147" spans="1:14">
      <c r="A147" s="134" t="s">
        <v>222</v>
      </c>
      <c r="B147" s="92"/>
      <c r="C147" s="92"/>
      <c r="D147" s="116"/>
      <c r="E147" s="115"/>
    </row>
    <row r="148" spans="1:14">
      <c r="A148" s="1324" t="s">
        <v>60</v>
      </c>
      <c r="B148" s="1311"/>
      <c r="C148" s="108"/>
      <c r="D148" s="111"/>
      <c r="E148" s="98"/>
    </row>
    <row r="149" spans="1:14">
      <c r="A149" s="101" t="s">
        <v>233</v>
      </c>
      <c r="B149" s="108"/>
      <c r="C149" s="108"/>
      <c r="D149" s="111"/>
      <c r="E149" s="135" t="s">
        <v>300</v>
      </c>
    </row>
    <row r="150" spans="1:14">
      <c r="A150" s="101"/>
      <c r="B150" s="108"/>
      <c r="C150" s="108"/>
      <c r="D150" s="111"/>
      <c r="E150" s="98"/>
    </row>
    <row r="151" spans="1:14">
      <c r="A151" s="136" t="s">
        <v>61</v>
      </c>
      <c r="B151" s="108"/>
      <c r="C151" s="108"/>
      <c r="D151" s="111" t="s">
        <v>15</v>
      </c>
      <c r="E151" s="7">
        <v>268000</v>
      </c>
    </row>
    <row r="152" spans="1:14">
      <c r="A152" s="136" t="s">
        <v>91</v>
      </c>
      <c r="B152" s="108"/>
      <c r="C152" s="108"/>
      <c r="D152" s="111"/>
      <c r="E152" s="7">
        <v>350000</v>
      </c>
    </row>
    <row r="153" spans="1:14">
      <c r="A153" s="136" t="s">
        <v>92</v>
      </c>
      <c r="B153" s="108"/>
      <c r="C153" s="108"/>
      <c r="D153" s="111"/>
      <c r="E153" s="7">
        <v>150000</v>
      </c>
    </row>
    <row r="154" spans="1:14">
      <c r="A154" s="136" t="s">
        <v>317</v>
      </c>
      <c r="B154" s="108"/>
      <c r="C154" s="108"/>
      <c r="D154" s="111"/>
      <c r="E154" s="7">
        <v>114177</v>
      </c>
    </row>
    <row r="155" spans="1:14">
      <c r="A155" s="136" t="s">
        <v>77</v>
      </c>
      <c r="B155" s="108"/>
      <c r="C155" s="108"/>
      <c r="D155" s="111"/>
      <c r="E155" s="7">
        <v>82000</v>
      </c>
    </row>
    <row r="156" spans="1:14" ht="15.75">
      <c r="A156" s="136" t="s">
        <v>323</v>
      </c>
      <c r="B156" s="108"/>
      <c r="C156" s="108"/>
      <c r="D156" s="111"/>
      <c r="E156" s="137">
        <v>240000</v>
      </c>
    </row>
    <row r="157" spans="1:14">
      <c r="A157" s="1320" t="s">
        <v>64</v>
      </c>
      <c r="B157" s="1321"/>
      <c r="C157" s="108"/>
      <c r="D157" s="111" t="s">
        <v>15</v>
      </c>
      <c r="E157" s="7">
        <f>SUM(E151:E156)</f>
        <v>1204177</v>
      </c>
    </row>
    <row r="158" spans="1:14">
      <c r="A158" s="138"/>
      <c r="B158" s="90"/>
      <c r="C158" s="90"/>
      <c r="D158" s="139"/>
      <c r="E158" s="112"/>
    </row>
    <row r="160" spans="1:14">
      <c r="A160" s="134" t="s">
        <v>324</v>
      </c>
      <c r="B160" s="92"/>
      <c r="C160" s="92"/>
      <c r="D160" s="116"/>
      <c r="E160" s="115"/>
    </row>
    <row r="161" spans="1:5">
      <c r="A161" s="1324" t="s">
        <v>60</v>
      </c>
      <c r="B161" s="1311"/>
      <c r="C161" s="108"/>
      <c r="D161" s="111"/>
      <c r="E161" s="98"/>
    </row>
    <row r="162" spans="1:5">
      <c r="A162" s="101" t="s">
        <v>233</v>
      </c>
      <c r="B162" s="108"/>
      <c r="C162" s="108"/>
      <c r="D162" s="111"/>
      <c r="E162" s="135" t="s">
        <v>300</v>
      </c>
    </row>
    <row r="163" spans="1:5">
      <c r="A163" s="101"/>
      <c r="B163" s="108"/>
      <c r="C163" s="108"/>
      <c r="D163" s="111"/>
      <c r="E163" s="98"/>
    </row>
    <row r="164" spans="1:5">
      <c r="A164" s="101" t="s">
        <v>325</v>
      </c>
      <c r="B164" s="108"/>
      <c r="C164" s="108"/>
      <c r="D164" s="111" t="s">
        <v>15</v>
      </c>
      <c r="E164" s="7">
        <v>350000</v>
      </c>
    </row>
    <row r="165" spans="1:5" ht="15.75">
      <c r="A165" s="136" t="s">
        <v>323</v>
      </c>
      <c r="B165" s="108"/>
      <c r="C165" s="108"/>
      <c r="D165" s="111"/>
      <c r="E165" s="137">
        <v>1020000</v>
      </c>
    </row>
    <row r="166" spans="1:5">
      <c r="A166" s="1320" t="s">
        <v>64</v>
      </c>
      <c r="B166" s="1321"/>
      <c r="C166" s="108"/>
      <c r="D166" s="111" t="s">
        <v>15</v>
      </c>
      <c r="E166" s="7">
        <f>SUM(E164:E165)</f>
        <v>1370000</v>
      </c>
    </row>
    <row r="167" spans="1:5">
      <c r="A167" s="138"/>
      <c r="B167" s="90"/>
      <c r="C167" s="90"/>
      <c r="D167" s="139"/>
      <c r="E167" s="112"/>
    </row>
    <row r="169" spans="1:5">
      <c r="A169" s="134" t="s">
        <v>336</v>
      </c>
      <c r="B169" s="92"/>
      <c r="C169" s="92"/>
      <c r="D169" s="116"/>
      <c r="E169" s="115"/>
    </row>
    <row r="170" spans="1:5">
      <c r="A170" s="1324" t="s">
        <v>60</v>
      </c>
      <c r="B170" s="1311"/>
      <c r="C170" s="108"/>
      <c r="D170" s="111"/>
      <c r="E170" s="98"/>
    </row>
    <row r="171" spans="1:5">
      <c r="A171" s="101" t="s">
        <v>233</v>
      </c>
      <c r="B171" s="108"/>
      <c r="C171" s="108"/>
      <c r="D171" s="111"/>
      <c r="E171" s="135" t="s">
        <v>300</v>
      </c>
    </row>
    <row r="172" spans="1:5">
      <c r="A172" s="101"/>
      <c r="B172" s="108"/>
      <c r="C172" s="108"/>
      <c r="D172" s="111"/>
      <c r="E172" s="98"/>
    </row>
    <row r="173" spans="1:5">
      <c r="A173" s="101" t="s">
        <v>325</v>
      </c>
      <c r="B173" s="108"/>
      <c r="C173" s="108"/>
      <c r="D173" s="111" t="s">
        <v>15</v>
      </c>
      <c r="E173" s="7">
        <v>700000</v>
      </c>
    </row>
    <row r="174" spans="1:5" ht="15.75">
      <c r="A174" s="136" t="s">
        <v>323</v>
      </c>
      <c r="B174" s="108"/>
      <c r="C174" s="108"/>
      <c r="D174" s="111"/>
      <c r="E174" s="137">
        <v>240000</v>
      </c>
    </row>
    <row r="175" spans="1:5">
      <c r="A175" s="1320" t="s">
        <v>64</v>
      </c>
      <c r="B175" s="1321"/>
      <c r="C175" s="108"/>
      <c r="D175" s="111" t="s">
        <v>15</v>
      </c>
      <c r="E175" s="7">
        <f>SUM(E173:E174)</f>
        <v>940000</v>
      </c>
    </row>
    <row r="176" spans="1:5">
      <c r="A176" s="138"/>
      <c r="B176" s="90"/>
      <c r="C176" s="90"/>
      <c r="D176" s="139"/>
      <c r="E176" s="112"/>
    </row>
  </sheetData>
  <sheetProtection algorithmName="SHA-512" hashValue="DluMNBKigz+IQ7B6SIq+DGKdT6DfSJdphYK8G5ctPJiBEBHr5K6ePyMYiJFbAezdAQoPtwuxkoTVkFOLhFaZYA==" saltValue="sdb7VqsroWfFQMUE9YHwLQ==" spinCount="100000" sheet="1" objects="1" scenarios="1"/>
  <mergeCells count="36">
    <mergeCell ref="N11:O13"/>
    <mergeCell ref="F11:K11"/>
    <mergeCell ref="J12:K13"/>
    <mergeCell ref="A12:B12"/>
    <mergeCell ref="A3:M3"/>
    <mergeCell ref="A4:M4"/>
    <mergeCell ref="F7:M7"/>
    <mergeCell ref="F8:M8"/>
    <mergeCell ref="H12:I12"/>
    <mergeCell ref="D12:E12"/>
    <mergeCell ref="L11:M11"/>
    <mergeCell ref="L12:M12"/>
    <mergeCell ref="F12:G12"/>
    <mergeCell ref="D11:E11"/>
    <mergeCell ref="C87:G87"/>
    <mergeCell ref="C88:G88"/>
    <mergeCell ref="I87:M87"/>
    <mergeCell ref="I88:M88"/>
    <mergeCell ref="L13:M13"/>
    <mergeCell ref="F13:G13"/>
    <mergeCell ref="D13:E13"/>
    <mergeCell ref="H13:I13"/>
    <mergeCell ref="A161:B161"/>
    <mergeCell ref="A166:B166"/>
    <mergeCell ref="A170:B170"/>
    <mergeCell ref="A175:B175"/>
    <mergeCell ref="A37:B37"/>
    <mergeCell ref="A67:B67"/>
    <mergeCell ref="A78:B78"/>
    <mergeCell ref="A148:B148"/>
    <mergeCell ref="A157:B157"/>
    <mergeCell ref="A137:B137"/>
    <mergeCell ref="A144:B144"/>
    <mergeCell ref="A80:B80"/>
    <mergeCell ref="A87:B87"/>
    <mergeCell ref="A88:B88"/>
  </mergeCells>
  <phoneticPr fontId="0" type="noConversion"/>
  <pageMargins left="0.2" right="0.2" top="1" bottom="1" header="0.3" footer="0.3"/>
  <pageSetup paperSize="14" orientation="portrait" verticalDpi="300" r:id="rId1"/>
  <headerFooter alignWithMargins="0">
    <oddHeader>&amp;RPage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V161"/>
  <sheetViews>
    <sheetView topLeftCell="A85" zoomScale="160" zoomScaleNormal="160" workbookViewId="0">
      <selection activeCell="N22" sqref="N22"/>
    </sheetView>
  </sheetViews>
  <sheetFormatPr defaultColWidth="9.140625" defaultRowHeight="13.5"/>
  <cols>
    <col min="1" max="1" width="10.5703125" style="86" customWidth="1"/>
    <col min="2" max="2" width="25" style="86" customWidth="1"/>
    <col min="3" max="3" width="8" style="86" customWidth="1"/>
    <col min="4" max="4" width="2.140625" style="87" customWidth="1"/>
    <col min="5" max="5" width="10.140625" style="86" customWidth="1"/>
    <col min="6" max="6" width="1.85546875" style="87" customWidth="1"/>
    <col min="7" max="7" width="10.42578125" style="86" customWidth="1"/>
    <col min="8" max="8" width="1.5703125" style="87" customWidth="1"/>
    <col min="9" max="9" width="10.140625" style="86" customWidth="1"/>
    <col min="10" max="10" width="1.5703125" style="87" customWidth="1"/>
    <col min="11" max="11" width="10.7109375" style="86" customWidth="1"/>
    <col min="12" max="12" width="1.85546875" style="87" customWidth="1"/>
    <col min="13" max="13" width="10.7109375" style="86" customWidth="1"/>
    <col min="14" max="14" width="1.85546875" style="87" hidden="1" customWidth="1"/>
    <col min="15" max="15" width="9.5703125" style="961" hidden="1" customWidth="1"/>
    <col min="16" max="16" width="0.140625" style="961" customWidth="1"/>
    <col min="17" max="17" width="9.140625" style="961"/>
    <col min="18" max="18" width="10.42578125" style="961" customWidth="1"/>
    <col min="19" max="19" width="9.140625" style="961"/>
    <col min="20" max="16384" width="9.140625" style="86"/>
  </cols>
  <sheetData>
    <row r="1" spans="1:20">
      <c r="A1" s="86" t="s">
        <v>186</v>
      </c>
    </row>
    <row r="2" spans="1:20" ht="7.5" customHeight="1"/>
    <row r="3" spans="1:20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"/>
      <c r="O3" s="986"/>
      <c r="P3" s="962"/>
      <c r="Q3" s="962"/>
      <c r="R3" s="962"/>
      <c r="S3" s="962"/>
      <c r="T3" s="88"/>
    </row>
    <row r="4" spans="1:20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"/>
      <c r="O4" s="986"/>
      <c r="P4" s="962"/>
      <c r="Q4" s="962"/>
      <c r="R4" s="962"/>
      <c r="S4" s="962"/>
      <c r="T4" s="88"/>
    </row>
    <row r="5" spans="1:20" ht="10.5" customHeight="1"/>
    <row r="6" spans="1:20">
      <c r="A6" s="89" t="s">
        <v>85</v>
      </c>
      <c r="B6" s="90" t="s">
        <v>430</v>
      </c>
      <c r="C6" s="90"/>
    </row>
    <row r="7" spans="1:20" ht="13.5" hidden="1" customHeight="1">
      <c r="A7" s="86" t="s">
        <v>2</v>
      </c>
      <c r="B7" s="91" t="s">
        <v>431</v>
      </c>
      <c r="C7" s="91"/>
      <c r="F7" s="804"/>
      <c r="G7" s="804"/>
      <c r="H7" s="804"/>
      <c r="I7" s="804"/>
      <c r="J7" s="804"/>
      <c r="K7" s="804"/>
      <c r="L7" s="804"/>
      <c r="M7" s="804"/>
      <c r="N7" s="804"/>
      <c r="O7" s="1034"/>
    </row>
    <row r="8" spans="1:20" ht="13.5" hidden="1" customHeight="1">
      <c r="A8" s="86" t="s">
        <v>3</v>
      </c>
      <c r="B8" s="91" t="s">
        <v>432</v>
      </c>
      <c r="C8" s="91"/>
      <c r="F8" s="133"/>
      <c r="G8" s="133"/>
      <c r="H8" s="133"/>
      <c r="I8" s="133"/>
      <c r="J8" s="133"/>
      <c r="K8" s="133"/>
      <c r="L8" s="133"/>
      <c r="M8" s="133"/>
      <c r="N8" s="133"/>
      <c r="O8" s="987"/>
    </row>
    <row r="9" spans="1:20" ht="13.5" hidden="1" customHeight="1">
      <c r="A9" s="86" t="s">
        <v>4</v>
      </c>
      <c r="B9" s="91" t="s">
        <v>404</v>
      </c>
      <c r="C9" s="91"/>
    </row>
    <row r="10" spans="1:20" ht="9.75" customHeight="1">
      <c r="B10" s="92"/>
      <c r="C10" s="92"/>
    </row>
    <row r="11" spans="1:20">
      <c r="A11" s="93"/>
      <c r="B11" s="94"/>
      <c r="C11" s="2" t="s">
        <v>5</v>
      </c>
      <c r="D11" s="1300" t="s">
        <v>7</v>
      </c>
      <c r="E11" s="1300"/>
      <c r="F11" s="1301" t="s">
        <v>1305</v>
      </c>
      <c r="G11" s="1302"/>
      <c r="H11" s="1302"/>
      <c r="I11" s="1302"/>
      <c r="J11" s="1302"/>
      <c r="K11" s="1303"/>
      <c r="L11" s="1300" t="s">
        <v>8</v>
      </c>
      <c r="M11" s="1300"/>
      <c r="N11" s="1292" t="s">
        <v>494</v>
      </c>
      <c r="O11" s="1293"/>
    </row>
    <row r="12" spans="1:20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294"/>
      <c r="O12" s="1295"/>
    </row>
    <row r="13" spans="1:20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296"/>
      <c r="O13" s="1297"/>
    </row>
    <row r="14" spans="1:20" ht="12.6" customHeight="1">
      <c r="A14" s="97" t="s">
        <v>281</v>
      </c>
      <c r="B14" s="98"/>
      <c r="C14" s="99"/>
      <c r="D14" s="100"/>
      <c r="E14" s="7"/>
      <c r="F14" s="100"/>
      <c r="G14" s="7"/>
      <c r="H14" s="100"/>
      <c r="I14" s="7"/>
      <c r="J14" s="100"/>
      <c r="K14" s="7"/>
      <c r="L14" s="100"/>
      <c r="M14" s="7"/>
      <c r="N14" s="100"/>
      <c r="O14" s="1035"/>
    </row>
    <row r="15" spans="1:20" ht="12.6" customHeight="1">
      <c r="A15" s="101" t="s">
        <v>262</v>
      </c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  <c r="N15" s="100"/>
      <c r="O15" s="1035"/>
    </row>
    <row r="16" spans="1:20" ht="12.6" customHeight="1">
      <c r="A16" s="101" t="s">
        <v>263</v>
      </c>
      <c r="B16" s="98"/>
      <c r="C16" s="102" t="s">
        <v>114</v>
      </c>
      <c r="D16" s="100" t="s">
        <v>15</v>
      </c>
      <c r="E16" s="221">
        <v>3624097</v>
      </c>
      <c r="F16" s="100" t="s">
        <v>15</v>
      </c>
      <c r="G16" s="221">
        <v>1883034</v>
      </c>
      <c r="H16" s="100" t="s">
        <v>15</v>
      </c>
      <c r="I16" s="221">
        <f>K16-G16</f>
        <v>1883058</v>
      </c>
      <c r="J16" s="100" t="s">
        <v>15</v>
      </c>
      <c r="K16" s="221">
        <v>3766092</v>
      </c>
      <c r="L16" s="100" t="s">
        <v>15</v>
      </c>
      <c r="M16" s="221">
        <v>4271688</v>
      </c>
      <c r="N16" s="104" t="s">
        <v>15</v>
      </c>
      <c r="O16" s="1058">
        <v>0</v>
      </c>
      <c r="P16" s="963">
        <f>(K16-E16)/K16</f>
        <v>3.7703539902901997E-2</v>
      </c>
    </row>
    <row r="17" spans="1:16" ht="12.6" customHeight="1">
      <c r="A17" s="101" t="s">
        <v>264</v>
      </c>
      <c r="B17" s="98"/>
      <c r="C17" s="102" t="s">
        <v>115</v>
      </c>
      <c r="D17" s="100"/>
      <c r="E17" s="221">
        <v>837032.48</v>
      </c>
      <c r="F17" s="100"/>
      <c r="G17" s="221">
        <v>447435.48</v>
      </c>
      <c r="H17" s="100"/>
      <c r="I17" s="221">
        <f t="shared" ref="I17:I36" si="0">K17-G17</f>
        <v>495380.52</v>
      </c>
      <c r="J17" s="100"/>
      <c r="K17" s="221">
        <v>942816</v>
      </c>
      <c r="L17" s="100"/>
      <c r="M17" s="221">
        <v>1104720</v>
      </c>
      <c r="N17" s="748"/>
      <c r="O17" s="1059">
        <v>0</v>
      </c>
      <c r="P17" s="963">
        <f>(K17-E17)/K17</f>
        <v>0.11219953840410007</v>
      </c>
    </row>
    <row r="18" spans="1:16" ht="12.6" customHeight="1">
      <c r="A18" s="101" t="s">
        <v>265</v>
      </c>
      <c r="B18" s="98"/>
      <c r="C18" s="102"/>
      <c r="D18" s="100"/>
      <c r="E18" s="7"/>
      <c r="F18" s="100"/>
      <c r="G18" s="7"/>
      <c r="H18" s="100"/>
      <c r="I18" s="7"/>
      <c r="J18" s="100"/>
      <c r="K18" s="7"/>
      <c r="L18" s="100"/>
      <c r="M18" s="7"/>
      <c r="N18" s="748"/>
      <c r="O18" s="996"/>
      <c r="P18" s="963"/>
    </row>
    <row r="19" spans="1:16" ht="12.6" customHeight="1">
      <c r="A19" s="101" t="s">
        <v>266</v>
      </c>
      <c r="B19" s="98"/>
      <c r="C19" s="102" t="s">
        <v>116</v>
      </c>
      <c r="D19" s="100"/>
      <c r="E19" s="221">
        <v>352273.21</v>
      </c>
      <c r="F19" s="100"/>
      <c r="G19" s="221">
        <v>188906.34</v>
      </c>
      <c r="H19" s="100"/>
      <c r="I19" s="221">
        <f t="shared" si="0"/>
        <v>195093.66</v>
      </c>
      <c r="J19" s="100"/>
      <c r="K19" s="221">
        <v>384000</v>
      </c>
      <c r="L19" s="100"/>
      <c r="M19" s="221">
        <v>432000</v>
      </c>
      <c r="N19" s="748"/>
      <c r="O19" s="1059">
        <v>0</v>
      </c>
      <c r="P19" s="963">
        <f t="shared" ref="P19:P24" si="1">(K19-E19)/K19</f>
        <v>8.2621848958333285E-2</v>
      </c>
    </row>
    <row r="20" spans="1:16" ht="12.6" customHeight="1">
      <c r="A20" s="101" t="s">
        <v>267</v>
      </c>
      <c r="B20" s="98"/>
      <c r="C20" s="102" t="s">
        <v>117</v>
      </c>
      <c r="D20" s="100"/>
      <c r="E20" s="221">
        <v>81000</v>
      </c>
      <c r="F20" s="100"/>
      <c r="G20" s="221">
        <v>40500</v>
      </c>
      <c r="H20" s="100"/>
      <c r="I20" s="221">
        <f t="shared" si="0"/>
        <v>40500</v>
      </c>
      <c r="J20" s="100"/>
      <c r="K20" s="221">
        <v>81000</v>
      </c>
      <c r="L20" s="100"/>
      <c r="M20" s="221">
        <v>81000</v>
      </c>
      <c r="N20" s="748"/>
      <c r="O20" s="1059">
        <v>0</v>
      </c>
      <c r="P20" s="963">
        <f t="shared" si="1"/>
        <v>0</v>
      </c>
    </row>
    <row r="21" spans="1:16" ht="12.6" customHeight="1">
      <c r="A21" s="101" t="s">
        <v>268</v>
      </c>
      <c r="B21" s="106"/>
      <c r="C21" s="102" t="s">
        <v>118</v>
      </c>
      <c r="D21" s="100"/>
      <c r="E21" s="221">
        <v>81000</v>
      </c>
      <c r="F21" s="100"/>
      <c r="G21" s="221">
        <v>40500</v>
      </c>
      <c r="H21" s="100"/>
      <c r="I21" s="221">
        <f t="shared" si="0"/>
        <v>40500</v>
      </c>
      <c r="J21" s="100"/>
      <c r="K21" s="221">
        <v>81000</v>
      </c>
      <c r="L21" s="100"/>
      <c r="M21" s="221">
        <v>81000</v>
      </c>
      <c r="N21" s="748"/>
      <c r="O21" s="1059">
        <v>0</v>
      </c>
      <c r="P21" s="963">
        <f t="shared" si="1"/>
        <v>0</v>
      </c>
    </row>
    <row r="22" spans="1:16" ht="12.6" customHeight="1">
      <c r="A22" s="101" t="s">
        <v>269</v>
      </c>
      <c r="B22" s="106"/>
      <c r="C22" s="102" t="s">
        <v>119</v>
      </c>
      <c r="D22" s="100"/>
      <c r="E22" s="221">
        <v>84000</v>
      </c>
      <c r="F22" s="100"/>
      <c r="G22" s="221">
        <v>96000</v>
      </c>
      <c r="H22" s="100"/>
      <c r="I22" s="221">
        <f t="shared" si="0"/>
        <v>0</v>
      </c>
      <c r="J22" s="100"/>
      <c r="K22" s="221">
        <v>96000</v>
      </c>
      <c r="L22" s="100"/>
      <c r="M22" s="221">
        <v>108000</v>
      </c>
      <c r="N22" s="748"/>
      <c r="O22" s="1059">
        <v>0</v>
      </c>
      <c r="P22" s="963">
        <f t="shared" si="1"/>
        <v>0.125</v>
      </c>
    </row>
    <row r="23" spans="1:16" ht="12.6" customHeight="1">
      <c r="A23" s="101" t="s">
        <v>270</v>
      </c>
      <c r="B23" s="106"/>
      <c r="C23" s="102" t="s">
        <v>120</v>
      </c>
      <c r="D23" s="100"/>
      <c r="E23" s="221">
        <v>80000</v>
      </c>
      <c r="F23" s="100"/>
      <c r="G23" s="221">
        <v>0</v>
      </c>
      <c r="H23" s="100"/>
      <c r="I23" s="221">
        <f t="shared" si="0"/>
        <v>80000</v>
      </c>
      <c r="J23" s="100"/>
      <c r="K23" s="221">
        <v>80000</v>
      </c>
      <c r="L23" s="100"/>
      <c r="M23" s="221">
        <v>90000</v>
      </c>
      <c r="N23" s="748"/>
      <c r="O23" s="1059">
        <v>0</v>
      </c>
      <c r="P23" s="963">
        <f t="shared" si="1"/>
        <v>0</v>
      </c>
    </row>
    <row r="24" spans="1:16" ht="12.6" customHeight="1">
      <c r="A24" s="101" t="s">
        <v>271</v>
      </c>
      <c r="B24" s="98"/>
      <c r="C24" s="102" t="s">
        <v>121</v>
      </c>
      <c r="D24" s="100"/>
      <c r="E24" s="221">
        <v>377565.72</v>
      </c>
      <c r="F24" s="100"/>
      <c r="G24" s="221">
        <v>0</v>
      </c>
      <c r="H24" s="100"/>
      <c r="I24" s="221">
        <f t="shared" si="0"/>
        <v>392409</v>
      </c>
      <c r="J24" s="100"/>
      <c r="K24" s="221">
        <v>392409</v>
      </c>
      <c r="L24" s="100"/>
      <c r="M24" s="221">
        <v>448034</v>
      </c>
      <c r="N24" s="748"/>
      <c r="O24" s="1059">
        <v>0</v>
      </c>
      <c r="P24" s="963">
        <f t="shared" si="1"/>
        <v>3.7826043745174114E-2</v>
      </c>
    </row>
    <row r="25" spans="1:16" ht="12.6" customHeight="1">
      <c r="A25" s="101" t="s">
        <v>278</v>
      </c>
      <c r="B25" s="108"/>
      <c r="C25" s="102" t="s">
        <v>258</v>
      </c>
      <c r="D25" s="100"/>
      <c r="E25" s="7"/>
      <c r="F25" s="100"/>
      <c r="G25" s="7"/>
      <c r="H25" s="100"/>
      <c r="I25" s="221"/>
      <c r="J25" s="100"/>
      <c r="K25" s="7"/>
      <c r="L25" s="100"/>
      <c r="M25" s="7"/>
      <c r="N25" s="748"/>
      <c r="O25" s="996"/>
      <c r="P25" s="963"/>
    </row>
    <row r="26" spans="1:16" ht="12.6" customHeight="1">
      <c r="A26" s="101" t="s">
        <v>279</v>
      </c>
      <c r="B26" s="108"/>
      <c r="C26" s="102"/>
      <c r="D26" s="100"/>
      <c r="E26" s="221">
        <v>350858.76</v>
      </c>
      <c r="F26" s="100"/>
      <c r="G26" s="221">
        <v>392404.52</v>
      </c>
      <c r="H26" s="100"/>
      <c r="I26" s="221">
        <f>K26-G26</f>
        <v>4.4799999999813735</v>
      </c>
      <c r="J26" s="100"/>
      <c r="K26" s="221">
        <v>392409</v>
      </c>
      <c r="L26" s="100"/>
      <c r="M26" s="221">
        <v>448034</v>
      </c>
      <c r="N26" s="748"/>
      <c r="O26" s="1059">
        <v>0</v>
      </c>
      <c r="P26" s="963">
        <f t="shared" ref="P26:P31" si="2">(K26-E26)/K26</f>
        <v>0.10588503321789253</v>
      </c>
    </row>
    <row r="27" spans="1:16" ht="12.6" customHeight="1">
      <c r="A27" s="101" t="s">
        <v>280</v>
      </c>
      <c r="B27" s="108"/>
      <c r="C27" s="102"/>
      <c r="D27" s="100"/>
      <c r="E27" s="221">
        <v>0</v>
      </c>
      <c r="F27" s="100"/>
      <c r="G27" s="221">
        <v>48000</v>
      </c>
      <c r="H27" s="100"/>
      <c r="I27" s="221">
        <f>K27-G27</f>
        <v>0</v>
      </c>
      <c r="J27" s="100"/>
      <c r="K27" s="221">
        <v>48000</v>
      </c>
      <c r="L27" s="100"/>
      <c r="M27" s="221">
        <v>0</v>
      </c>
      <c r="N27" s="748"/>
      <c r="O27" s="1059">
        <v>0</v>
      </c>
      <c r="P27" s="963">
        <f t="shared" si="2"/>
        <v>1</v>
      </c>
    </row>
    <row r="28" spans="1:16" ht="12.6" customHeight="1">
      <c r="A28" s="101" t="s">
        <v>272</v>
      </c>
      <c r="B28" s="98"/>
      <c r="C28" s="102" t="s">
        <v>122</v>
      </c>
      <c r="D28" s="100"/>
      <c r="E28" s="221">
        <v>521885.36</v>
      </c>
      <c r="F28" s="100"/>
      <c r="G28" s="221">
        <v>282531.3</v>
      </c>
      <c r="H28" s="100"/>
      <c r="I28" s="221">
        <f t="shared" si="0"/>
        <v>282537.7</v>
      </c>
      <c r="J28" s="100"/>
      <c r="K28" s="221">
        <v>565069</v>
      </c>
      <c r="L28" s="100"/>
      <c r="M28" s="221">
        <v>645169</v>
      </c>
      <c r="N28" s="748"/>
      <c r="O28" s="1059">
        <v>0</v>
      </c>
      <c r="P28" s="963">
        <f t="shared" si="2"/>
        <v>7.6421888300366878E-2</v>
      </c>
    </row>
    <row r="29" spans="1:16" ht="12.6" customHeight="1">
      <c r="A29" s="101" t="s">
        <v>273</v>
      </c>
      <c r="B29" s="98"/>
      <c r="C29" s="102" t="s">
        <v>123</v>
      </c>
      <c r="D29" s="100"/>
      <c r="E29" s="221">
        <v>86509.71</v>
      </c>
      <c r="F29" s="100"/>
      <c r="G29" s="221">
        <v>15623.66</v>
      </c>
      <c r="H29" s="100"/>
      <c r="I29" s="221">
        <f t="shared" si="0"/>
        <v>78648.34</v>
      </c>
      <c r="J29" s="100"/>
      <c r="K29" s="221">
        <v>94272</v>
      </c>
      <c r="L29" s="100"/>
      <c r="M29" s="221">
        <v>21600</v>
      </c>
      <c r="N29" s="748"/>
      <c r="O29" s="1059">
        <v>0</v>
      </c>
      <c r="P29" s="963">
        <f t="shared" si="2"/>
        <v>8.2339294806517249E-2</v>
      </c>
    </row>
    <row r="30" spans="1:16" ht="12.6" customHeight="1">
      <c r="A30" s="101" t="s">
        <v>274</v>
      </c>
      <c r="B30" s="98"/>
      <c r="C30" s="102" t="s">
        <v>124</v>
      </c>
      <c r="D30" s="100"/>
      <c r="E30" s="221">
        <v>60177.3</v>
      </c>
      <c r="F30" s="100"/>
      <c r="G30" s="221">
        <v>34769.300000000003</v>
      </c>
      <c r="H30" s="100"/>
      <c r="I30" s="221">
        <f t="shared" si="0"/>
        <v>57306.7</v>
      </c>
      <c r="J30" s="100"/>
      <c r="K30" s="221">
        <v>92076</v>
      </c>
      <c r="L30" s="100"/>
      <c r="M30" s="221">
        <v>121092</v>
      </c>
      <c r="N30" s="748"/>
      <c r="O30" s="1059">
        <v>0</v>
      </c>
      <c r="P30" s="963">
        <f t="shared" si="2"/>
        <v>0.34643881141665578</v>
      </c>
    </row>
    <row r="31" spans="1:16" ht="12.6" customHeight="1">
      <c r="A31" s="101" t="s">
        <v>275</v>
      </c>
      <c r="B31" s="98"/>
      <c r="C31" s="102" t="s">
        <v>125</v>
      </c>
      <c r="D31" s="100"/>
      <c r="E31" s="221">
        <v>17900</v>
      </c>
      <c r="F31" s="100"/>
      <c r="G31" s="221">
        <v>9600</v>
      </c>
      <c r="H31" s="100"/>
      <c r="I31" s="221">
        <f t="shared" si="0"/>
        <v>9600</v>
      </c>
      <c r="J31" s="100"/>
      <c r="K31" s="221">
        <v>19200</v>
      </c>
      <c r="L31" s="100"/>
      <c r="M31" s="221">
        <v>21600</v>
      </c>
      <c r="N31" s="748"/>
      <c r="O31" s="1059">
        <v>0</v>
      </c>
      <c r="P31" s="963">
        <f t="shared" si="2"/>
        <v>6.7708333333333329E-2</v>
      </c>
    </row>
    <row r="32" spans="1:16" ht="12.6" customHeight="1">
      <c r="A32" s="101" t="s">
        <v>276</v>
      </c>
      <c r="B32" s="108"/>
      <c r="C32" s="102" t="s">
        <v>161</v>
      </c>
      <c r="D32" s="100"/>
      <c r="E32" s="7"/>
      <c r="F32" s="100"/>
      <c r="G32" s="7"/>
      <c r="H32" s="100"/>
      <c r="I32" s="7"/>
      <c r="J32" s="100"/>
      <c r="K32" s="7"/>
      <c r="L32" s="100"/>
      <c r="M32" s="7"/>
      <c r="N32" s="748"/>
      <c r="O32" s="996"/>
      <c r="P32" s="963"/>
    </row>
    <row r="33" spans="1:18" ht="10.5" customHeight="1">
      <c r="A33" s="101" t="s">
        <v>292</v>
      </c>
      <c r="B33" s="108"/>
      <c r="C33" s="102"/>
      <c r="D33" s="100"/>
      <c r="E33" s="7">
        <v>0</v>
      </c>
      <c r="F33" s="100"/>
      <c r="G33" s="7">
        <v>0</v>
      </c>
      <c r="H33" s="100"/>
      <c r="I33" s="7">
        <f>K33-G33</f>
        <v>0</v>
      </c>
      <c r="J33" s="100"/>
      <c r="K33" s="7">
        <v>0</v>
      </c>
      <c r="L33" s="100"/>
      <c r="M33" s="7">
        <v>262920</v>
      </c>
      <c r="N33" s="748"/>
      <c r="O33" s="996">
        <v>0</v>
      </c>
    </row>
    <row r="34" spans="1:18" ht="13.5" customHeight="1">
      <c r="A34" s="101" t="s">
        <v>260</v>
      </c>
      <c r="B34" s="108"/>
      <c r="C34" s="102"/>
      <c r="D34" s="100"/>
      <c r="E34" s="221">
        <v>80000</v>
      </c>
      <c r="F34" s="100"/>
      <c r="G34" s="221">
        <v>0</v>
      </c>
      <c r="H34" s="100"/>
      <c r="I34" s="221">
        <f t="shared" si="0"/>
        <v>80000</v>
      </c>
      <c r="J34" s="100"/>
      <c r="K34" s="221">
        <v>80000</v>
      </c>
      <c r="L34" s="100"/>
      <c r="M34" s="221">
        <v>90000</v>
      </c>
      <c r="N34" s="748"/>
      <c r="O34" s="1059">
        <v>0</v>
      </c>
      <c r="P34" s="963">
        <f>(K34-E34)/K34</f>
        <v>0</v>
      </c>
    </row>
    <row r="35" spans="1:18" ht="12.6" customHeight="1">
      <c r="A35" s="101" t="s">
        <v>764</v>
      </c>
      <c r="B35" s="108"/>
      <c r="C35" s="102"/>
      <c r="D35" s="100"/>
      <c r="E35" s="221">
        <v>0</v>
      </c>
      <c r="F35" s="100"/>
      <c r="G35" s="221">
        <v>0</v>
      </c>
      <c r="H35" s="100"/>
      <c r="I35" s="221">
        <f t="shared" ref="I35" si="3">K35-G35</f>
        <v>208024</v>
      </c>
      <c r="J35" s="100"/>
      <c r="K35" s="221">
        <f>200156+7868</f>
        <v>208024</v>
      </c>
      <c r="L35" s="100"/>
      <c r="M35" s="221">
        <v>0</v>
      </c>
      <c r="N35" s="748"/>
      <c r="O35" s="1059">
        <v>0</v>
      </c>
      <c r="P35" s="963">
        <f>(K35-E35)/K35</f>
        <v>1</v>
      </c>
    </row>
    <row r="36" spans="1:18" ht="12.6" customHeight="1">
      <c r="A36" s="101" t="s">
        <v>259</v>
      </c>
      <c r="B36" s="108"/>
      <c r="C36" s="102"/>
      <c r="D36" s="100"/>
      <c r="E36" s="221">
        <v>5000</v>
      </c>
      <c r="F36" s="100"/>
      <c r="G36" s="221">
        <v>10000</v>
      </c>
      <c r="H36" s="100"/>
      <c r="I36" s="221">
        <f t="shared" si="0"/>
        <v>0</v>
      </c>
      <c r="J36" s="100"/>
      <c r="K36" s="222">
        <v>10000</v>
      </c>
      <c r="L36" s="104"/>
      <c r="M36" s="222">
        <v>5000</v>
      </c>
      <c r="N36" s="748"/>
      <c r="O36" s="1059">
        <v>0</v>
      </c>
      <c r="P36" s="963">
        <f>(K36-E36)/K36</f>
        <v>0.5</v>
      </c>
    </row>
    <row r="37" spans="1:18" ht="11.25" customHeight="1">
      <c r="A37" s="1325" t="s">
        <v>14</v>
      </c>
      <c r="B37" s="1326"/>
      <c r="C37" s="102"/>
      <c r="D37" s="109" t="s">
        <v>15</v>
      </c>
      <c r="E37" s="110">
        <f>SUM(E16:E36)</f>
        <v>6639299.54</v>
      </c>
      <c r="F37" s="109" t="s">
        <v>15</v>
      </c>
      <c r="G37" s="110">
        <f>SUM(G16:G36)</f>
        <v>3489304.5999999996</v>
      </c>
      <c r="H37" s="109" t="s">
        <v>15</v>
      </c>
      <c r="I37" s="110">
        <f>SUM(I16:I36)</f>
        <v>3843062.4000000004</v>
      </c>
      <c r="J37" s="109" t="s">
        <v>15</v>
      </c>
      <c r="K37" s="110">
        <f>SUM(K16:K36)</f>
        <v>7332367</v>
      </c>
      <c r="L37" s="109" t="s">
        <v>15</v>
      </c>
      <c r="M37" s="110">
        <f>SUM(M16:M36)</f>
        <v>8231857</v>
      </c>
      <c r="N37" s="109" t="s">
        <v>15</v>
      </c>
      <c r="O37" s="1033">
        <f>SUM(O16:O36)</f>
        <v>0</v>
      </c>
      <c r="P37" s="963"/>
    </row>
    <row r="38" spans="1:18" ht="11.25" customHeight="1">
      <c r="A38" s="97" t="s">
        <v>282</v>
      </c>
      <c r="B38" s="98"/>
      <c r="C38" s="102"/>
      <c r="D38" s="120"/>
      <c r="E38" s="117"/>
      <c r="F38" s="120"/>
      <c r="G38" s="117"/>
      <c r="H38" s="120"/>
      <c r="I38" s="117"/>
      <c r="J38" s="120"/>
      <c r="K38" s="117"/>
      <c r="L38" s="120"/>
      <c r="M38" s="117"/>
      <c r="N38" s="120"/>
      <c r="O38" s="970"/>
    </row>
    <row r="39" spans="1:18" ht="12.6" customHeight="1">
      <c r="A39" s="101" t="s">
        <v>41</v>
      </c>
      <c r="B39" s="98"/>
      <c r="C39" s="102" t="s">
        <v>126</v>
      </c>
      <c r="D39" s="100" t="s">
        <v>15</v>
      </c>
      <c r="E39" s="7">
        <v>75335.899999999994</v>
      </c>
      <c r="F39" s="100" t="s">
        <v>15</v>
      </c>
      <c r="G39" s="7">
        <v>140000</v>
      </c>
      <c r="H39" s="100" t="s">
        <v>15</v>
      </c>
      <c r="I39" s="7">
        <f>K39-G39</f>
        <v>260000</v>
      </c>
      <c r="J39" s="100" t="s">
        <v>15</v>
      </c>
      <c r="K39" s="7">
        <v>400000</v>
      </c>
      <c r="L39" s="100" t="s">
        <v>15</v>
      </c>
      <c r="M39" s="7">
        <v>400000</v>
      </c>
      <c r="N39" s="104" t="s">
        <v>15</v>
      </c>
      <c r="O39" s="1036">
        <f>M39-K39</f>
        <v>0</v>
      </c>
      <c r="P39" s="963">
        <f>O39-K39</f>
        <v>-400000</v>
      </c>
      <c r="Q39" s="963">
        <f>K39*0.1</f>
        <v>40000</v>
      </c>
      <c r="R39" s="963">
        <f>K39+Q39</f>
        <v>440000</v>
      </c>
    </row>
    <row r="40" spans="1:18" ht="12.6" customHeight="1">
      <c r="A40" s="101" t="s">
        <v>42</v>
      </c>
      <c r="B40" s="98"/>
      <c r="C40" s="102" t="s">
        <v>127</v>
      </c>
      <c r="D40" s="100"/>
      <c r="E40" s="7">
        <v>17000</v>
      </c>
      <c r="F40" s="100"/>
      <c r="G40" s="7">
        <v>120000</v>
      </c>
      <c r="H40" s="100"/>
      <c r="I40" s="7">
        <f t="shared" ref="I40:I56" si="4">K40-G40</f>
        <v>180000</v>
      </c>
      <c r="J40" s="100"/>
      <c r="K40" s="7">
        <v>300000</v>
      </c>
      <c r="L40" s="100"/>
      <c r="M40" s="7">
        <v>284127</v>
      </c>
      <c r="N40" s="748"/>
      <c r="O40" s="1036">
        <f t="shared" ref="O40:O56" si="5">M40-K40</f>
        <v>-15873</v>
      </c>
      <c r="P40" s="963">
        <f t="shared" ref="P40:P56" si="6">O40-K40</f>
        <v>-315873</v>
      </c>
      <c r="Q40" s="963">
        <f t="shared" ref="Q40:Q56" si="7">K40*0.1</f>
        <v>30000</v>
      </c>
      <c r="R40" s="963">
        <f t="shared" ref="R40:R56" si="8">K40+Q40</f>
        <v>330000</v>
      </c>
    </row>
    <row r="41" spans="1:18" ht="12.6" customHeight="1">
      <c r="A41" s="101" t="s">
        <v>28</v>
      </c>
      <c r="B41" s="98"/>
      <c r="C41" s="102" t="s">
        <v>128</v>
      </c>
      <c r="D41" s="111"/>
      <c r="E41" s="7">
        <v>121374.17</v>
      </c>
      <c r="F41" s="111"/>
      <c r="G41" s="7">
        <v>33442</v>
      </c>
      <c r="H41" s="111"/>
      <c r="I41" s="7">
        <f t="shared" si="4"/>
        <v>466558</v>
      </c>
      <c r="J41" s="111"/>
      <c r="K41" s="7">
        <v>500000</v>
      </c>
      <c r="L41" s="100"/>
      <c r="M41" s="7">
        <v>200000</v>
      </c>
      <c r="N41" s="748"/>
      <c r="O41" s="1036">
        <f t="shared" si="5"/>
        <v>-300000</v>
      </c>
      <c r="P41" s="963">
        <f t="shared" si="6"/>
        <v>-800000</v>
      </c>
      <c r="Q41" s="963">
        <f t="shared" si="7"/>
        <v>50000</v>
      </c>
      <c r="R41" s="963">
        <f t="shared" si="8"/>
        <v>550000</v>
      </c>
    </row>
    <row r="42" spans="1:18" ht="12.6" customHeight="1">
      <c r="A42" s="101" t="s">
        <v>130</v>
      </c>
      <c r="B42" s="98"/>
      <c r="C42" s="102" t="s">
        <v>129</v>
      </c>
      <c r="D42" s="100"/>
      <c r="E42" s="7">
        <v>130825.87</v>
      </c>
      <c r="F42" s="100"/>
      <c r="G42" s="7">
        <v>69239.16</v>
      </c>
      <c r="H42" s="100"/>
      <c r="I42" s="7">
        <f t="shared" si="4"/>
        <v>250760.84</v>
      </c>
      <c r="J42" s="100"/>
      <c r="K42" s="7">
        <v>320000</v>
      </c>
      <c r="L42" s="100"/>
      <c r="M42" s="7">
        <v>300000</v>
      </c>
      <c r="N42" s="748"/>
      <c r="O42" s="1036">
        <f t="shared" si="5"/>
        <v>-20000</v>
      </c>
      <c r="P42" s="963">
        <f t="shared" si="6"/>
        <v>-340000</v>
      </c>
      <c r="Q42" s="963">
        <f t="shared" si="7"/>
        <v>32000</v>
      </c>
      <c r="R42" s="963">
        <f t="shared" si="8"/>
        <v>352000</v>
      </c>
    </row>
    <row r="43" spans="1:18" ht="12.6" customHeight="1">
      <c r="A43" s="101" t="s">
        <v>497</v>
      </c>
      <c r="B43" s="98"/>
      <c r="C43" s="102" t="s">
        <v>174</v>
      </c>
      <c r="D43" s="100"/>
      <c r="E43" s="7">
        <v>19513.38</v>
      </c>
      <c r="F43" s="100"/>
      <c r="G43" s="7">
        <v>15375.62</v>
      </c>
      <c r="H43" s="100"/>
      <c r="I43" s="7">
        <f t="shared" si="4"/>
        <v>84624.38</v>
      </c>
      <c r="J43" s="100"/>
      <c r="K43" s="7">
        <v>100000</v>
      </c>
      <c r="L43" s="100"/>
      <c r="M43" s="7">
        <v>50000</v>
      </c>
      <c r="N43" s="748"/>
      <c r="O43" s="1036">
        <f t="shared" si="5"/>
        <v>-50000</v>
      </c>
      <c r="P43" s="963">
        <f t="shared" si="6"/>
        <v>-150000</v>
      </c>
      <c r="Q43" s="963"/>
      <c r="R43" s="963"/>
    </row>
    <row r="44" spans="1:18" ht="12.6" customHeight="1">
      <c r="A44" s="101" t="s">
        <v>132</v>
      </c>
      <c r="B44" s="98"/>
      <c r="C44" s="102" t="s">
        <v>131</v>
      </c>
      <c r="D44" s="100"/>
      <c r="E44" s="7">
        <v>0</v>
      </c>
      <c r="F44" s="100"/>
      <c r="G44" s="7">
        <v>130</v>
      </c>
      <c r="H44" s="100"/>
      <c r="I44" s="7">
        <f t="shared" si="4"/>
        <v>3370</v>
      </c>
      <c r="J44" s="100"/>
      <c r="K44" s="7">
        <v>3500</v>
      </c>
      <c r="L44" s="100"/>
      <c r="M44" s="7">
        <v>0</v>
      </c>
      <c r="N44" s="748"/>
      <c r="O44" s="1036">
        <f t="shared" si="5"/>
        <v>-3500</v>
      </c>
      <c r="P44" s="963">
        <f t="shared" si="6"/>
        <v>-7000</v>
      </c>
      <c r="Q44" s="963">
        <f t="shared" si="7"/>
        <v>350</v>
      </c>
      <c r="R44" s="963">
        <f t="shared" si="8"/>
        <v>3850</v>
      </c>
    </row>
    <row r="45" spans="1:18" ht="12.6" customHeight="1">
      <c r="A45" s="101" t="s">
        <v>163</v>
      </c>
      <c r="B45" s="98"/>
      <c r="C45" s="102" t="s">
        <v>133</v>
      </c>
      <c r="D45" s="100"/>
      <c r="E45" s="7">
        <v>30000</v>
      </c>
      <c r="F45" s="100"/>
      <c r="G45" s="7">
        <v>15000</v>
      </c>
      <c r="H45" s="100"/>
      <c r="I45" s="7">
        <f t="shared" si="4"/>
        <v>25000</v>
      </c>
      <c r="J45" s="100"/>
      <c r="K45" s="7">
        <v>40000</v>
      </c>
      <c r="L45" s="100"/>
      <c r="M45" s="7">
        <v>40000</v>
      </c>
      <c r="N45" s="748"/>
      <c r="O45" s="1036">
        <f t="shared" si="5"/>
        <v>0</v>
      </c>
      <c r="P45" s="963">
        <f t="shared" si="6"/>
        <v>-40000</v>
      </c>
      <c r="Q45" s="963">
        <f t="shared" si="7"/>
        <v>4000</v>
      </c>
      <c r="R45" s="963">
        <f t="shared" si="8"/>
        <v>44000</v>
      </c>
    </row>
    <row r="46" spans="1:18" ht="12.6" customHeight="1">
      <c r="A46" s="101" t="s">
        <v>135</v>
      </c>
      <c r="B46" s="98"/>
      <c r="C46" s="102" t="s">
        <v>134</v>
      </c>
      <c r="D46" s="100"/>
      <c r="E46" s="7">
        <v>34788</v>
      </c>
      <c r="F46" s="100"/>
      <c r="G46" s="7">
        <v>14596</v>
      </c>
      <c r="H46" s="100"/>
      <c r="I46" s="7">
        <f t="shared" si="4"/>
        <v>21404</v>
      </c>
      <c r="J46" s="100"/>
      <c r="K46" s="7">
        <v>36000</v>
      </c>
      <c r="L46" s="100"/>
      <c r="M46" s="7">
        <v>36000</v>
      </c>
      <c r="N46" s="748"/>
      <c r="O46" s="1036">
        <f t="shared" si="5"/>
        <v>0</v>
      </c>
      <c r="P46" s="963">
        <f t="shared" si="6"/>
        <v>-36000</v>
      </c>
      <c r="Q46" s="963">
        <f t="shared" si="7"/>
        <v>3600</v>
      </c>
      <c r="R46" s="963">
        <f t="shared" si="8"/>
        <v>39600</v>
      </c>
    </row>
    <row r="47" spans="1:18" ht="12.6" customHeight="1">
      <c r="A47" s="101" t="s">
        <v>138</v>
      </c>
      <c r="B47" s="98"/>
      <c r="C47" s="102" t="s">
        <v>137</v>
      </c>
      <c r="D47" s="100"/>
      <c r="E47" s="7">
        <v>6730</v>
      </c>
      <c r="F47" s="100"/>
      <c r="G47" s="7">
        <v>0</v>
      </c>
      <c r="H47" s="100"/>
      <c r="I47" s="7">
        <f t="shared" si="4"/>
        <v>15000</v>
      </c>
      <c r="J47" s="100"/>
      <c r="K47" s="7">
        <v>15000</v>
      </c>
      <c r="L47" s="100"/>
      <c r="M47" s="7">
        <v>10000</v>
      </c>
      <c r="N47" s="748"/>
      <c r="O47" s="1036">
        <f t="shared" si="5"/>
        <v>-5000</v>
      </c>
      <c r="P47" s="963">
        <f t="shared" si="6"/>
        <v>-20000</v>
      </c>
      <c r="Q47" s="963">
        <f t="shared" si="7"/>
        <v>1500</v>
      </c>
      <c r="R47" s="963">
        <f t="shared" si="8"/>
        <v>16500</v>
      </c>
    </row>
    <row r="48" spans="1:18" ht="12.6" customHeight="1">
      <c r="A48" s="101" t="s">
        <v>37</v>
      </c>
      <c r="B48" s="98"/>
      <c r="C48" s="102" t="s">
        <v>139</v>
      </c>
      <c r="D48" s="100"/>
      <c r="E48" s="7">
        <v>5000</v>
      </c>
      <c r="F48" s="100"/>
      <c r="G48" s="7">
        <v>0</v>
      </c>
      <c r="H48" s="100"/>
      <c r="I48" s="7">
        <f t="shared" si="4"/>
        <v>22000</v>
      </c>
      <c r="J48" s="100"/>
      <c r="K48" s="7">
        <v>22000</v>
      </c>
      <c r="L48" s="100"/>
      <c r="M48" s="7">
        <v>12000</v>
      </c>
      <c r="N48" s="748"/>
      <c r="O48" s="1036">
        <f t="shared" si="5"/>
        <v>-10000</v>
      </c>
      <c r="P48" s="963">
        <f t="shared" si="6"/>
        <v>-32000</v>
      </c>
      <c r="Q48" s="963">
        <f t="shared" si="7"/>
        <v>2200</v>
      </c>
      <c r="R48" s="963">
        <f t="shared" si="8"/>
        <v>24200</v>
      </c>
    </row>
    <row r="49" spans="1:19" ht="12.6" customHeight="1">
      <c r="A49" s="101" t="s">
        <v>142</v>
      </c>
      <c r="B49" s="98"/>
      <c r="C49" s="118" t="s">
        <v>141</v>
      </c>
      <c r="D49" s="100"/>
      <c r="E49" s="7">
        <v>0</v>
      </c>
      <c r="F49" s="100"/>
      <c r="G49" s="7">
        <v>0</v>
      </c>
      <c r="H49" s="100"/>
      <c r="I49" s="7">
        <f t="shared" si="4"/>
        <v>100000</v>
      </c>
      <c r="J49" s="100"/>
      <c r="K49" s="7">
        <v>100000</v>
      </c>
      <c r="L49" s="100"/>
      <c r="M49" s="7">
        <v>50000</v>
      </c>
      <c r="N49" s="748"/>
      <c r="O49" s="1036">
        <f t="shared" si="5"/>
        <v>-50000</v>
      </c>
      <c r="P49" s="963">
        <f t="shared" si="6"/>
        <v>-150000</v>
      </c>
      <c r="Q49" s="963">
        <f t="shared" si="7"/>
        <v>10000</v>
      </c>
      <c r="R49" s="963">
        <f t="shared" si="8"/>
        <v>110000</v>
      </c>
    </row>
    <row r="50" spans="1:19" ht="12.6" customHeight="1">
      <c r="A50" s="101" t="s">
        <v>145</v>
      </c>
      <c r="B50" s="98"/>
      <c r="C50" s="102" t="s">
        <v>144</v>
      </c>
      <c r="D50" s="100"/>
      <c r="E50" s="7">
        <v>49200</v>
      </c>
      <c r="F50" s="100"/>
      <c r="G50" s="7">
        <v>8250</v>
      </c>
      <c r="H50" s="100"/>
      <c r="I50" s="7">
        <f t="shared" si="4"/>
        <v>151750</v>
      </c>
      <c r="J50" s="100"/>
      <c r="K50" s="7">
        <v>160000</v>
      </c>
      <c r="L50" s="100"/>
      <c r="M50" s="7">
        <v>160000</v>
      </c>
      <c r="N50" s="748"/>
      <c r="O50" s="1036">
        <f t="shared" si="5"/>
        <v>0</v>
      </c>
      <c r="P50" s="963">
        <f t="shared" si="6"/>
        <v>-160000</v>
      </c>
      <c r="Q50" s="963">
        <f t="shared" si="7"/>
        <v>16000</v>
      </c>
      <c r="R50" s="963">
        <f t="shared" si="8"/>
        <v>176000</v>
      </c>
    </row>
    <row r="51" spans="1:19" ht="12.6" customHeight="1">
      <c r="A51" s="101" t="s">
        <v>33</v>
      </c>
      <c r="B51" s="119"/>
      <c r="C51" s="102" t="s">
        <v>148</v>
      </c>
      <c r="D51" s="100"/>
      <c r="E51" s="157"/>
      <c r="F51" s="100"/>
      <c r="G51" s="157"/>
      <c r="H51" s="100"/>
      <c r="I51" s="7">
        <f t="shared" si="4"/>
        <v>0</v>
      </c>
      <c r="J51" s="100"/>
      <c r="K51" s="7"/>
      <c r="L51" s="100"/>
      <c r="M51" s="7"/>
      <c r="N51" s="748"/>
      <c r="O51" s="1060"/>
      <c r="P51" s="963">
        <f t="shared" si="6"/>
        <v>0</v>
      </c>
      <c r="Q51" s="963">
        <f t="shared" si="7"/>
        <v>0</v>
      </c>
      <c r="R51" s="963">
        <f t="shared" si="8"/>
        <v>0</v>
      </c>
    </row>
    <row r="52" spans="1:19" ht="12.6" customHeight="1">
      <c r="A52" s="101"/>
      <c r="B52" s="7" t="s">
        <v>342</v>
      </c>
      <c r="C52" s="102"/>
      <c r="D52" s="100"/>
      <c r="E52" s="7">
        <v>939779.57</v>
      </c>
      <c r="F52" s="100"/>
      <c r="G52" s="7">
        <v>479000</v>
      </c>
      <c r="H52" s="100"/>
      <c r="I52" s="7">
        <f t="shared" si="4"/>
        <v>479000</v>
      </c>
      <c r="J52" s="100"/>
      <c r="K52" s="7">
        <v>958000</v>
      </c>
      <c r="L52" s="100"/>
      <c r="M52" s="7">
        <v>988000</v>
      </c>
      <c r="N52" s="748"/>
      <c r="O52" s="1036">
        <f t="shared" si="5"/>
        <v>30000</v>
      </c>
      <c r="P52" s="963">
        <f t="shared" si="6"/>
        <v>-928000</v>
      </c>
      <c r="Q52" s="963">
        <f t="shared" si="7"/>
        <v>95800</v>
      </c>
      <c r="R52" s="963">
        <f t="shared" si="8"/>
        <v>1053800</v>
      </c>
    </row>
    <row r="53" spans="1:19" ht="12.6" customHeight="1">
      <c r="A53" s="101"/>
      <c r="B53" s="7" t="s">
        <v>1117</v>
      </c>
      <c r="C53" s="102"/>
      <c r="D53" s="100"/>
      <c r="E53" s="157">
        <v>0</v>
      </c>
      <c r="F53" s="100"/>
      <c r="G53" s="157">
        <v>0</v>
      </c>
      <c r="H53" s="100"/>
      <c r="I53" s="7">
        <f>K53-G53</f>
        <v>0</v>
      </c>
      <c r="J53" s="100"/>
      <c r="K53" s="7">
        <v>0</v>
      </c>
      <c r="L53" s="100"/>
      <c r="M53" s="7">
        <v>0</v>
      </c>
      <c r="N53" s="748"/>
      <c r="O53" s="996">
        <v>0</v>
      </c>
      <c r="P53" s="963">
        <f t="shared" ref="P53" si="9">M53-K53</f>
        <v>0</v>
      </c>
    </row>
    <row r="54" spans="1:19" ht="12.6" customHeight="1">
      <c r="A54" s="101"/>
      <c r="B54" s="7" t="s">
        <v>355</v>
      </c>
      <c r="C54" s="102"/>
      <c r="D54" s="100"/>
      <c r="E54" s="7">
        <v>80000</v>
      </c>
      <c r="F54" s="100"/>
      <c r="G54" s="7">
        <v>26400</v>
      </c>
      <c r="H54" s="100"/>
      <c r="I54" s="7">
        <f t="shared" si="4"/>
        <v>79200</v>
      </c>
      <c r="J54" s="100"/>
      <c r="K54" s="7">
        <v>105600</v>
      </c>
      <c r="L54" s="100"/>
      <c r="M54" s="7">
        <v>105600</v>
      </c>
      <c r="N54" s="748"/>
      <c r="O54" s="1036">
        <f t="shared" si="5"/>
        <v>0</v>
      </c>
      <c r="P54" s="963">
        <f t="shared" si="6"/>
        <v>-105600</v>
      </c>
      <c r="Q54" s="963">
        <f t="shared" si="7"/>
        <v>10560</v>
      </c>
      <c r="R54" s="963">
        <f t="shared" si="8"/>
        <v>116160</v>
      </c>
    </row>
    <row r="55" spans="1:19" ht="12.6" customHeight="1">
      <c r="A55" s="101"/>
      <c r="B55" s="7" t="s">
        <v>499</v>
      </c>
      <c r="C55" s="102"/>
      <c r="D55" s="100"/>
      <c r="E55" s="7">
        <v>2280</v>
      </c>
      <c r="F55" s="100"/>
      <c r="G55" s="7">
        <v>15900</v>
      </c>
      <c r="H55" s="100"/>
      <c r="I55" s="7">
        <f t="shared" ref="I55" si="10">K55-G55</f>
        <v>14100</v>
      </c>
      <c r="J55" s="100"/>
      <c r="K55" s="7">
        <v>30000</v>
      </c>
      <c r="L55" s="100"/>
      <c r="M55" s="7">
        <v>30000</v>
      </c>
      <c r="N55" s="748"/>
      <c r="O55" s="1036">
        <f t="shared" si="5"/>
        <v>0</v>
      </c>
      <c r="P55" s="963">
        <f t="shared" ref="P55" si="11">O55-K55</f>
        <v>-30000</v>
      </c>
      <c r="Q55" s="963">
        <f t="shared" ref="Q55" si="12">K55*0.1</f>
        <v>3000</v>
      </c>
      <c r="R55" s="963">
        <f t="shared" ref="R55" si="13">K55+Q55</f>
        <v>33000</v>
      </c>
    </row>
    <row r="56" spans="1:19" ht="12.6" customHeight="1">
      <c r="A56" s="101"/>
      <c r="B56" s="7" t="s">
        <v>743</v>
      </c>
      <c r="C56" s="102"/>
      <c r="D56" s="100"/>
      <c r="E56" s="7">
        <v>26800.400000000001</v>
      </c>
      <c r="F56" s="100"/>
      <c r="G56" s="7">
        <v>20000</v>
      </c>
      <c r="H56" s="100"/>
      <c r="I56" s="7">
        <f t="shared" si="4"/>
        <v>30000</v>
      </c>
      <c r="J56" s="100"/>
      <c r="K56" s="105">
        <v>50000</v>
      </c>
      <c r="L56" s="104"/>
      <c r="M56" s="105">
        <v>50000</v>
      </c>
      <c r="N56" s="748"/>
      <c r="O56" s="1036">
        <f t="shared" si="5"/>
        <v>0</v>
      </c>
      <c r="P56" s="963">
        <f t="shared" si="6"/>
        <v>-50000</v>
      </c>
      <c r="Q56" s="963">
        <f t="shared" si="7"/>
        <v>5000</v>
      </c>
      <c r="R56" s="963">
        <f t="shared" si="8"/>
        <v>55000</v>
      </c>
    </row>
    <row r="57" spans="1:19" ht="12.6" customHeight="1">
      <c r="A57" s="1336" t="s">
        <v>13</v>
      </c>
      <c r="B57" s="1337"/>
      <c r="C57" s="113"/>
      <c r="D57" s="109" t="s">
        <v>15</v>
      </c>
      <c r="E57" s="110">
        <f>SUM(E39:E56)</f>
        <v>1538627.2899999998</v>
      </c>
      <c r="F57" s="109" t="s">
        <v>15</v>
      </c>
      <c r="G57" s="110">
        <f>SUM(G39:G56)</f>
        <v>957332.78</v>
      </c>
      <c r="H57" s="109" t="s">
        <v>15</v>
      </c>
      <c r="I57" s="110">
        <f>SUM(I39:I56)</f>
        <v>2182767.2200000002</v>
      </c>
      <c r="J57" s="109" t="s">
        <v>15</v>
      </c>
      <c r="K57" s="110">
        <f>SUM(K39:K56)</f>
        <v>3140100</v>
      </c>
      <c r="L57" s="109" t="s">
        <v>15</v>
      </c>
      <c r="M57" s="110">
        <f>SUM(M39:M56)</f>
        <v>2715727</v>
      </c>
      <c r="N57" s="109" t="s">
        <v>15</v>
      </c>
      <c r="O57" s="1033">
        <f>SUM(O39:O56)</f>
        <v>-424373</v>
      </c>
      <c r="P57" s="1033">
        <f>SUM(P39:P56)</f>
        <v>-3564473</v>
      </c>
      <c r="S57" s="961" t="s">
        <v>11</v>
      </c>
    </row>
    <row r="58" spans="1:19" ht="4.5" customHeight="1">
      <c r="A58" s="283"/>
      <c r="B58" s="283"/>
      <c r="C58" s="145"/>
      <c r="D58" s="146"/>
      <c r="E58" s="218"/>
      <c r="F58" s="146"/>
      <c r="G58" s="218"/>
      <c r="H58" s="146"/>
      <c r="I58" s="218"/>
      <c r="J58" s="146"/>
      <c r="K58" s="218"/>
      <c r="L58" s="146"/>
      <c r="M58" s="218"/>
      <c r="N58" s="146"/>
      <c r="O58" s="1061"/>
      <c r="P58" s="1039"/>
    </row>
    <row r="59" spans="1:19" ht="4.5" customHeight="1">
      <c r="A59" s="868"/>
      <c r="B59" s="868"/>
      <c r="C59" s="869"/>
      <c r="D59" s="149"/>
      <c r="E59" s="175"/>
      <c r="F59" s="149"/>
      <c r="G59" s="175"/>
      <c r="H59" s="149"/>
      <c r="I59" s="175"/>
      <c r="J59" s="149"/>
      <c r="K59" s="175"/>
      <c r="L59" s="149"/>
      <c r="M59" s="175"/>
      <c r="N59" s="149"/>
      <c r="O59" s="1039"/>
      <c r="P59" s="1039"/>
    </row>
    <row r="60" spans="1:19" ht="4.5" customHeight="1">
      <c r="A60" s="868"/>
      <c r="B60" s="868"/>
      <c r="C60" s="869"/>
      <c r="D60" s="149"/>
      <c r="E60" s="175"/>
      <c r="F60" s="149"/>
      <c r="G60" s="175"/>
      <c r="H60" s="149"/>
      <c r="I60" s="175"/>
      <c r="J60" s="149"/>
      <c r="K60" s="175"/>
      <c r="L60" s="149"/>
      <c r="M60" s="175"/>
      <c r="N60" s="149"/>
      <c r="O60" s="1039"/>
      <c r="P60" s="1039"/>
    </row>
    <row r="61" spans="1:19" ht="4.5" customHeight="1">
      <c r="A61" s="868"/>
      <c r="B61" s="868"/>
      <c r="C61" s="869"/>
      <c r="D61" s="149"/>
      <c r="E61" s="175"/>
      <c r="F61" s="149"/>
      <c r="G61" s="175"/>
      <c r="H61" s="149"/>
      <c r="I61" s="175"/>
      <c r="J61" s="149"/>
      <c r="K61" s="175"/>
      <c r="L61" s="149"/>
      <c r="M61" s="175"/>
      <c r="N61" s="149"/>
      <c r="O61" s="1039"/>
      <c r="P61" s="1039"/>
    </row>
    <row r="62" spans="1:19" ht="4.5" customHeight="1">
      <c r="A62" s="868"/>
      <c r="B62" s="868"/>
      <c r="C62" s="869"/>
      <c r="D62" s="149"/>
      <c r="E62" s="175"/>
      <c r="F62" s="149"/>
      <c r="G62" s="175"/>
      <c r="H62" s="149"/>
      <c r="I62" s="175"/>
      <c r="J62" s="149"/>
      <c r="K62" s="175"/>
      <c r="L62" s="149"/>
      <c r="M62" s="175"/>
      <c r="N62" s="149"/>
      <c r="O62" s="1039"/>
      <c r="P62" s="1039"/>
    </row>
    <row r="63" spans="1:19" ht="4.5" customHeight="1">
      <c r="A63" s="868"/>
      <c r="B63" s="868"/>
      <c r="C63" s="869"/>
      <c r="D63" s="149"/>
      <c r="E63" s="175"/>
      <c r="F63" s="149"/>
      <c r="G63" s="175"/>
      <c r="H63" s="149"/>
      <c r="I63" s="175"/>
      <c r="J63" s="149"/>
      <c r="K63" s="175"/>
      <c r="L63" s="149"/>
      <c r="M63" s="175"/>
      <c r="N63" s="149"/>
      <c r="O63" s="1039"/>
      <c r="P63" s="1039"/>
    </row>
    <row r="64" spans="1:19" ht="4.5" customHeight="1">
      <c r="A64" s="868"/>
      <c r="B64" s="868"/>
      <c r="C64" s="869"/>
      <c r="D64" s="149"/>
      <c r="E64" s="175"/>
      <c r="F64" s="149"/>
      <c r="G64" s="175"/>
      <c r="H64" s="149"/>
      <c r="I64" s="175"/>
      <c r="J64" s="149"/>
      <c r="K64" s="175"/>
      <c r="L64" s="149"/>
      <c r="M64" s="175"/>
      <c r="N64" s="149"/>
      <c r="O64" s="1039"/>
      <c r="P64" s="1039"/>
    </row>
    <row r="65" spans="1:16" ht="4.5" customHeight="1">
      <c r="A65" s="868"/>
      <c r="B65" s="868"/>
      <c r="C65" s="869"/>
      <c r="D65" s="149"/>
      <c r="E65" s="175"/>
      <c r="F65" s="149"/>
      <c r="G65" s="175"/>
      <c r="H65" s="149"/>
      <c r="I65" s="175"/>
      <c r="J65" s="149"/>
      <c r="K65" s="175"/>
      <c r="L65" s="149"/>
      <c r="M65" s="175"/>
      <c r="N65" s="149"/>
      <c r="O65" s="1039"/>
      <c r="P65" s="1039"/>
    </row>
    <row r="66" spans="1:16" ht="4.5" customHeight="1">
      <c r="A66" s="868"/>
      <c r="B66" s="868"/>
      <c r="C66" s="869"/>
      <c r="D66" s="149"/>
      <c r="E66" s="175"/>
      <c r="F66" s="149"/>
      <c r="G66" s="175"/>
      <c r="H66" s="149"/>
      <c r="I66" s="175"/>
      <c r="J66" s="149"/>
      <c r="K66" s="175"/>
      <c r="L66" s="149"/>
      <c r="M66" s="175"/>
      <c r="N66" s="149"/>
      <c r="O66" s="1039"/>
      <c r="P66" s="1039"/>
    </row>
    <row r="67" spans="1:16" ht="4.5" customHeight="1">
      <c r="A67" s="868"/>
      <c r="B67" s="868"/>
      <c r="C67" s="869"/>
      <c r="D67" s="149"/>
      <c r="E67" s="175"/>
      <c r="F67" s="149"/>
      <c r="G67" s="175"/>
      <c r="H67" s="149"/>
      <c r="I67" s="175"/>
      <c r="J67" s="149"/>
      <c r="K67" s="175"/>
      <c r="L67" s="149"/>
      <c r="M67" s="175"/>
      <c r="N67" s="149"/>
      <c r="O67" s="1039"/>
      <c r="P67" s="1039"/>
    </row>
    <row r="68" spans="1:16" ht="4.5" customHeight="1">
      <c r="A68" s="868"/>
      <c r="B68" s="868"/>
      <c r="C68" s="869"/>
      <c r="D68" s="149"/>
      <c r="E68" s="175"/>
      <c r="F68" s="149"/>
      <c r="G68" s="175"/>
      <c r="H68" s="149"/>
      <c r="I68" s="175"/>
      <c r="J68" s="149"/>
      <c r="K68" s="175"/>
      <c r="L68" s="149"/>
      <c r="M68" s="175"/>
      <c r="N68" s="149"/>
      <c r="O68" s="1039"/>
      <c r="P68" s="1039"/>
    </row>
    <row r="69" spans="1:16" ht="4.5" customHeight="1">
      <c r="A69" s="868"/>
      <c r="B69" s="868"/>
      <c r="C69" s="869"/>
      <c r="D69" s="149"/>
      <c r="E69" s="175"/>
      <c r="F69" s="149"/>
      <c r="G69" s="175"/>
      <c r="H69" s="149"/>
      <c r="I69" s="175"/>
      <c r="J69" s="149"/>
      <c r="K69" s="175"/>
      <c r="L69" s="149"/>
      <c r="M69" s="175"/>
      <c r="N69" s="149"/>
      <c r="O69" s="1039"/>
      <c r="P69" s="1039"/>
    </row>
    <row r="70" spans="1:16" ht="4.5" customHeight="1">
      <c r="A70" s="868"/>
      <c r="B70" s="868"/>
      <c r="C70" s="869"/>
      <c r="D70" s="149"/>
      <c r="E70" s="175"/>
      <c r="F70" s="149"/>
      <c r="G70" s="175"/>
      <c r="H70" s="149"/>
      <c r="I70" s="175"/>
      <c r="J70" s="149"/>
      <c r="K70" s="175"/>
      <c r="L70" s="149"/>
      <c r="M70" s="175"/>
      <c r="N70" s="149"/>
      <c r="O70" s="1039"/>
      <c r="P70" s="1039"/>
    </row>
    <row r="71" spans="1:16" ht="4.5" customHeight="1">
      <c r="A71" s="868"/>
      <c r="B71" s="868"/>
      <c r="C71" s="869"/>
      <c r="D71" s="149"/>
      <c r="E71" s="175"/>
      <c r="F71" s="149"/>
      <c r="G71" s="175"/>
      <c r="H71" s="149"/>
      <c r="I71" s="175"/>
      <c r="J71" s="149"/>
      <c r="K71" s="175"/>
      <c r="L71" s="149"/>
      <c r="M71" s="175"/>
      <c r="N71" s="149"/>
      <c r="O71" s="1039"/>
      <c r="P71" s="1039"/>
    </row>
    <row r="72" spans="1:16" ht="4.5" customHeight="1">
      <c r="A72" s="868"/>
      <c r="B72" s="868"/>
      <c r="C72" s="869"/>
      <c r="D72" s="149"/>
      <c r="E72" s="175"/>
      <c r="F72" s="149"/>
      <c r="G72" s="175"/>
      <c r="H72" s="149"/>
      <c r="I72" s="175"/>
      <c r="J72" s="149"/>
      <c r="K72" s="175"/>
      <c r="L72" s="149"/>
      <c r="M72" s="175"/>
      <c r="N72" s="149"/>
      <c r="O72" s="1039"/>
      <c r="P72" s="1039"/>
    </row>
    <row r="73" spans="1:16" ht="4.5" customHeight="1">
      <c r="A73" s="868"/>
      <c r="B73" s="868"/>
      <c r="C73" s="869"/>
      <c r="D73" s="149"/>
      <c r="E73" s="175"/>
      <c r="F73" s="149"/>
      <c r="G73" s="175"/>
      <c r="H73" s="149"/>
      <c r="I73" s="175"/>
      <c r="J73" s="149"/>
      <c r="K73" s="175"/>
      <c r="L73" s="149"/>
      <c r="M73" s="175"/>
      <c r="N73" s="149"/>
      <c r="O73" s="1039"/>
      <c r="P73" s="1039"/>
    </row>
    <row r="74" spans="1:16" ht="4.5" customHeight="1">
      <c r="A74" s="868"/>
      <c r="B74" s="868"/>
      <c r="C74" s="869"/>
      <c r="D74" s="149"/>
      <c r="E74" s="175"/>
      <c r="F74" s="149"/>
      <c r="G74" s="175"/>
      <c r="H74" s="149"/>
      <c r="I74" s="175"/>
      <c r="J74" s="149"/>
      <c r="K74" s="175"/>
      <c r="L74" s="149"/>
      <c r="M74" s="175"/>
      <c r="N74" s="149"/>
      <c r="O74" s="1039"/>
      <c r="P74" s="1039"/>
    </row>
    <row r="75" spans="1:16" ht="4.5" customHeight="1">
      <c r="A75" s="868"/>
      <c r="B75" s="868"/>
      <c r="C75" s="869"/>
      <c r="D75" s="149"/>
      <c r="E75" s="175"/>
      <c r="F75" s="149"/>
      <c r="G75" s="175"/>
      <c r="H75" s="149"/>
      <c r="I75" s="175"/>
      <c r="J75" s="149"/>
      <c r="K75" s="175"/>
      <c r="L75" s="149"/>
      <c r="M75" s="175"/>
      <c r="N75" s="149"/>
      <c r="O75" s="1039"/>
      <c r="P75" s="1039"/>
    </row>
    <row r="76" spans="1:16" ht="4.5" customHeight="1">
      <c r="A76" s="868"/>
      <c r="B76" s="868"/>
      <c r="C76" s="869"/>
      <c r="D76" s="149"/>
      <c r="E76" s="175"/>
      <c r="F76" s="149"/>
      <c r="G76" s="175"/>
      <c r="H76" s="149"/>
      <c r="I76" s="175"/>
      <c r="J76" s="149"/>
      <c r="K76" s="175"/>
      <c r="L76" s="149"/>
      <c r="M76" s="175"/>
      <c r="N76" s="149"/>
      <c r="O76" s="1039"/>
      <c r="P76" s="1039"/>
    </row>
    <row r="77" spans="1:16" ht="4.5" customHeight="1">
      <c r="A77" s="868"/>
      <c r="B77" s="868"/>
      <c r="C77" s="869"/>
      <c r="D77" s="149"/>
      <c r="E77" s="175"/>
      <c r="F77" s="149"/>
      <c r="G77" s="175"/>
      <c r="H77" s="149"/>
      <c r="I77" s="175"/>
      <c r="J77" s="149"/>
      <c r="K77" s="175"/>
      <c r="L77" s="149"/>
      <c r="M77" s="175"/>
      <c r="N77" s="149"/>
      <c r="O77" s="1039"/>
      <c r="P77" s="1039"/>
    </row>
    <row r="78" spans="1:16" ht="4.5" customHeight="1">
      <c r="A78" s="868"/>
      <c r="B78" s="868"/>
      <c r="C78" s="869"/>
      <c r="D78" s="149"/>
      <c r="E78" s="175"/>
      <c r="F78" s="149"/>
      <c r="G78" s="175"/>
      <c r="H78" s="149"/>
      <c r="I78" s="175"/>
      <c r="J78" s="149"/>
      <c r="K78" s="175"/>
      <c r="L78" s="149"/>
      <c r="M78" s="175"/>
      <c r="N78" s="873"/>
      <c r="O78" s="1062"/>
      <c r="P78" s="1039"/>
    </row>
    <row r="79" spans="1:16" ht="10.5" customHeight="1">
      <c r="A79" s="173" t="s">
        <v>283</v>
      </c>
      <c r="B79" s="797"/>
      <c r="C79" s="798"/>
      <c r="D79" s="144"/>
      <c r="E79" s="174"/>
      <c r="F79" s="144"/>
      <c r="G79" s="174"/>
      <c r="H79" s="144"/>
      <c r="I79" s="174"/>
      <c r="J79" s="144"/>
      <c r="K79" s="174"/>
      <c r="L79" s="144"/>
      <c r="M79" s="174"/>
      <c r="N79" s="122"/>
      <c r="O79" s="1040"/>
    </row>
    <row r="80" spans="1:16" ht="12.6" customHeight="1">
      <c r="A80" s="124" t="s">
        <v>51</v>
      </c>
      <c r="B80" s="867"/>
      <c r="C80" s="102" t="s">
        <v>149</v>
      </c>
      <c r="D80" s="100" t="s">
        <v>15</v>
      </c>
      <c r="E80" s="7"/>
      <c r="F80" s="100" t="s">
        <v>15</v>
      </c>
      <c r="G80" s="7"/>
      <c r="H80" s="100" t="s">
        <v>15</v>
      </c>
      <c r="I80" s="7">
        <f t="shared" ref="I80:I81" si="14">K80-G80</f>
        <v>0</v>
      </c>
      <c r="J80" s="100" t="s">
        <v>15</v>
      </c>
      <c r="K80" s="7"/>
      <c r="L80" s="100" t="s">
        <v>15</v>
      </c>
      <c r="M80" s="7"/>
      <c r="N80" s="104" t="s">
        <v>15</v>
      </c>
      <c r="O80" s="1036"/>
    </row>
    <row r="81" spans="1:22" ht="12.6" customHeight="1">
      <c r="A81" s="124" t="s">
        <v>1003</v>
      </c>
      <c r="B81" s="514"/>
      <c r="C81" s="102"/>
      <c r="D81" s="100"/>
      <c r="E81" s="7">
        <v>0</v>
      </c>
      <c r="F81" s="100"/>
      <c r="G81" s="7">
        <v>0</v>
      </c>
      <c r="H81" s="100"/>
      <c r="I81" s="7">
        <f t="shared" si="14"/>
        <v>140000</v>
      </c>
      <c r="J81" s="100"/>
      <c r="K81" s="7">
        <v>140000</v>
      </c>
      <c r="L81" s="100"/>
      <c r="M81" s="7">
        <v>0</v>
      </c>
      <c r="N81" s="748"/>
      <c r="O81" s="996">
        <v>0</v>
      </c>
    </row>
    <row r="82" spans="1:22" ht="12.6" customHeight="1">
      <c r="A82" s="124" t="s">
        <v>152</v>
      </c>
      <c r="B82" s="772"/>
      <c r="C82" s="102" t="s">
        <v>150</v>
      </c>
      <c r="D82" s="100"/>
      <c r="E82" s="7"/>
      <c r="F82" s="100"/>
      <c r="G82" s="7"/>
      <c r="H82" s="100"/>
      <c r="I82" s="7"/>
      <c r="J82" s="100"/>
      <c r="K82" s="7"/>
      <c r="L82" s="100"/>
      <c r="M82" s="7"/>
      <c r="N82" s="748"/>
      <c r="O82" s="996"/>
    </row>
    <row r="83" spans="1:22" ht="12.6" customHeight="1">
      <c r="A83" s="124" t="s">
        <v>153</v>
      </c>
      <c r="B83" s="288"/>
      <c r="C83" s="102" t="s">
        <v>151</v>
      </c>
      <c r="D83" s="122"/>
      <c r="E83" s="7"/>
      <c r="F83" s="122"/>
      <c r="G83" s="7"/>
      <c r="H83" s="122"/>
      <c r="I83" s="7"/>
      <c r="J83" s="122"/>
      <c r="K83" s="7"/>
      <c r="L83" s="100"/>
      <c r="M83" s="7"/>
      <c r="N83" s="748"/>
      <c r="O83" s="996"/>
    </row>
    <row r="84" spans="1:22" ht="12.6" customHeight="1">
      <c r="A84" s="124" t="s">
        <v>1120</v>
      </c>
      <c r="B84" s="854"/>
      <c r="C84" s="102"/>
      <c r="D84" s="122"/>
      <c r="E84" s="7">
        <v>0</v>
      </c>
      <c r="F84" s="122"/>
      <c r="G84" s="7">
        <v>0</v>
      </c>
      <c r="H84" s="122"/>
      <c r="I84" s="7">
        <f t="shared" ref="I84" si="15">K84-G84</f>
        <v>0</v>
      </c>
      <c r="J84" s="122"/>
      <c r="K84" s="7">
        <v>0</v>
      </c>
      <c r="L84" s="100"/>
      <c r="M84" s="7">
        <v>0</v>
      </c>
      <c r="N84" s="748"/>
      <c r="O84" s="996">
        <v>0</v>
      </c>
    </row>
    <row r="85" spans="1:22" ht="12.6" customHeight="1">
      <c r="A85" s="124" t="s">
        <v>393</v>
      </c>
      <c r="B85" s="854"/>
      <c r="C85" s="102"/>
      <c r="D85" s="122"/>
      <c r="E85" s="7">
        <v>0</v>
      </c>
      <c r="F85" s="122"/>
      <c r="G85" s="7">
        <v>0</v>
      </c>
      <c r="H85" s="122"/>
      <c r="I85" s="7">
        <v>0</v>
      </c>
      <c r="J85" s="122"/>
      <c r="K85" s="7">
        <v>0</v>
      </c>
      <c r="L85" s="100"/>
      <c r="M85" s="7" t="s">
        <v>873</v>
      </c>
      <c r="N85" s="104"/>
      <c r="O85" s="1036">
        <v>0</v>
      </c>
    </row>
    <row r="86" spans="1:22" ht="12.6" customHeight="1">
      <c r="A86" s="162" t="s">
        <v>1121</v>
      </c>
      <c r="B86" s="853"/>
      <c r="C86" s="113"/>
      <c r="D86" s="125"/>
      <c r="E86" s="105">
        <v>0</v>
      </c>
      <c r="F86" s="125"/>
      <c r="G86" s="105">
        <v>0</v>
      </c>
      <c r="H86" s="125"/>
      <c r="I86" s="105">
        <f>K86-G86</f>
        <v>0</v>
      </c>
      <c r="J86" s="125"/>
      <c r="K86" s="105">
        <v>0</v>
      </c>
      <c r="L86" s="104"/>
      <c r="M86" s="105">
        <v>0</v>
      </c>
      <c r="N86" s="748"/>
      <c r="O86" s="996">
        <v>0</v>
      </c>
    </row>
    <row r="87" spans="1:22" ht="12.6" customHeight="1">
      <c r="A87" s="124" t="s">
        <v>50</v>
      </c>
      <c r="B87" s="817"/>
      <c r="C87" s="102" t="s">
        <v>156</v>
      </c>
      <c r="D87" s="122"/>
      <c r="E87" s="7"/>
      <c r="F87" s="122"/>
      <c r="G87" s="7"/>
      <c r="H87" s="122"/>
      <c r="I87" s="7"/>
      <c r="J87" s="122"/>
      <c r="K87" s="105"/>
      <c r="L87" s="104"/>
      <c r="M87" s="749"/>
      <c r="N87" s="748"/>
      <c r="O87" s="996"/>
    </row>
    <row r="88" spans="1:22" ht="12.6" customHeight="1">
      <c r="A88" s="1325" t="s">
        <v>16</v>
      </c>
      <c r="B88" s="1326"/>
      <c r="C88" s="102"/>
      <c r="D88" s="109" t="s">
        <v>15</v>
      </c>
      <c r="E88" s="110">
        <f>SUM(E80:E87)</f>
        <v>0</v>
      </c>
      <c r="F88" s="109" t="s">
        <v>15</v>
      </c>
      <c r="G88" s="110">
        <f>SUM(G80:G87)</f>
        <v>0</v>
      </c>
      <c r="H88" s="109" t="s">
        <v>15</v>
      </c>
      <c r="I88" s="110">
        <f>SUM(I80:I87)</f>
        <v>140000</v>
      </c>
      <c r="J88" s="109" t="s">
        <v>15</v>
      </c>
      <c r="K88" s="110">
        <f>SUM(K80:K87)</f>
        <v>140000</v>
      </c>
      <c r="L88" s="109" t="s">
        <v>15</v>
      </c>
      <c r="M88" s="110">
        <f>SUM(M80:M87)</f>
        <v>0</v>
      </c>
      <c r="N88" s="109" t="s">
        <v>15</v>
      </c>
      <c r="O88" s="1033">
        <f>M88-K88</f>
        <v>-140000</v>
      </c>
      <c r="P88" s="963">
        <f>O88-K88</f>
        <v>-280000</v>
      </c>
    </row>
    <row r="89" spans="1:22" ht="6.75" customHeight="1">
      <c r="A89" s="101"/>
      <c r="B89" s="98"/>
      <c r="C89" s="102"/>
      <c r="D89" s="100"/>
      <c r="E89" s="7"/>
      <c r="F89" s="100"/>
      <c r="G89" s="7"/>
      <c r="H89" s="100"/>
      <c r="I89" s="7"/>
      <c r="J89" s="100"/>
      <c r="K89" s="7"/>
      <c r="L89" s="100"/>
      <c r="M89" s="7"/>
      <c r="N89" s="100"/>
      <c r="O89" s="1035"/>
    </row>
    <row r="90" spans="1:22" ht="12.6" customHeight="1">
      <c r="A90" s="1336" t="s">
        <v>277</v>
      </c>
      <c r="B90" s="1337"/>
      <c r="C90" s="113"/>
      <c r="D90" s="125" t="s">
        <v>15</v>
      </c>
      <c r="E90" s="126">
        <f>E57+E37+E88</f>
        <v>8177926.8300000001</v>
      </c>
      <c r="F90" s="125" t="s">
        <v>15</v>
      </c>
      <c r="G90" s="126">
        <f>G57+G37+G88</f>
        <v>4446637.38</v>
      </c>
      <c r="H90" s="125" t="s">
        <v>15</v>
      </c>
      <c r="I90" s="126">
        <f>I57+I37+I88</f>
        <v>6165829.620000001</v>
      </c>
      <c r="J90" s="125" t="s">
        <v>15</v>
      </c>
      <c r="K90" s="126">
        <f>K57+K37+K88</f>
        <v>10612467</v>
      </c>
      <c r="L90" s="125" t="s">
        <v>15</v>
      </c>
      <c r="M90" s="126">
        <f>M57+M37+M88</f>
        <v>10947584</v>
      </c>
      <c r="N90" s="125"/>
      <c r="O90" s="1044"/>
      <c r="P90" s="1044">
        <f>P88+P57+P37</f>
        <v>-3844473</v>
      </c>
    </row>
    <row r="91" spans="1:22" ht="13.5" customHeight="1">
      <c r="A91" s="62" t="s">
        <v>1623</v>
      </c>
      <c r="B91" s="803"/>
      <c r="C91" s="802"/>
      <c r="D91" s="149"/>
      <c r="E91" s="175"/>
      <c r="F91" s="149"/>
      <c r="G91" s="175"/>
      <c r="H91" s="149"/>
      <c r="I91" s="175"/>
      <c r="J91" s="149"/>
      <c r="K91" s="175"/>
      <c r="L91" s="149"/>
      <c r="M91" s="175"/>
      <c r="N91" s="149"/>
      <c r="O91" s="1039"/>
      <c r="P91" s="1039"/>
    </row>
    <row r="92" spans="1:22" s="127" customFormat="1" ht="21" customHeight="1">
      <c r="A92" s="127" t="s">
        <v>187</v>
      </c>
      <c r="C92" s="128" t="s">
        <v>188</v>
      </c>
      <c r="F92" s="129"/>
      <c r="I92" s="127" t="s">
        <v>190</v>
      </c>
      <c r="L92" s="129"/>
      <c r="N92" s="129"/>
      <c r="O92" s="985"/>
      <c r="P92" s="964"/>
      <c r="Q92" s="985"/>
      <c r="R92" s="1009"/>
      <c r="S92" s="1009"/>
      <c r="T92" s="130"/>
      <c r="U92" s="130"/>
      <c r="V92" s="130"/>
    </row>
    <row r="93" spans="1:22" ht="7.5" customHeight="1"/>
    <row r="95" spans="1:22" ht="6" customHeight="1"/>
    <row r="96" spans="1:22" s="89" customFormat="1" ht="12" customHeight="1">
      <c r="A96" s="1323" t="s">
        <v>1607</v>
      </c>
      <c r="B96" s="1323"/>
      <c r="C96" s="1323" t="s">
        <v>1584</v>
      </c>
      <c r="D96" s="1323"/>
      <c r="E96" s="1323"/>
      <c r="F96" s="1323"/>
      <c r="G96" s="1323"/>
      <c r="H96" s="132"/>
      <c r="I96" s="1323" t="str">
        <f>mbo!I87</f>
        <v>(Sgd.) ATTY. JOSE JOEL P. DOROMAL</v>
      </c>
      <c r="J96" s="1323"/>
      <c r="K96" s="1323"/>
      <c r="L96" s="1323"/>
      <c r="M96" s="1323"/>
      <c r="N96" s="132"/>
      <c r="O96" s="986"/>
      <c r="P96" s="965"/>
      <c r="Q96" s="965"/>
      <c r="R96" s="965"/>
      <c r="S96" s="965"/>
    </row>
    <row r="97" spans="1:15">
      <c r="A97" s="1322" t="s">
        <v>433</v>
      </c>
      <c r="B97" s="1322"/>
      <c r="C97" s="1322" t="s">
        <v>206</v>
      </c>
      <c r="D97" s="1322"/>
      <c r="E97" s="1322"/>
      <c r="F97" s="1322"/>
      <c r="G97" s="1322"/>
      <c r="H97" s="133"/>
      <c r="I97" s="1322" t="s">
        <v>192</v>
      </c>
      <c r="J97" s="1322"/>
      <c r="K97" s="1322"/>
      <c r="L97" s="1322"/>
      <c r="M97" s="1322"/>
      <c r="N97" s="133"/>
      <c r="O97" s="987"/>
    </row>
    <row r="98" spans="1:15">
      <c r="A98" s="88"/>
      <c r="B98" s="88"/>
      <c r="C98" s="88"/>
      <c r="D98" s="88"/>
      <c r="E98" s="88"/>
      <c r="F98" s="88"/>
      <c r="G98" s="88"/>
      <c r="H98" s="133"/>
      <c r="I98" s="801"/>
      <c r="J98" s="801"/>
      <c r="K98" s="801"/>
      <c r="L98" s="801"/>
      <c r="M98" s="801"/>
      <c r="N98" s="801"/>
      <c r="O98" s="962"/>
    </row>
    <row r="99" spans="1:15">
      <c r="A99" s="88"/>
      <c r="B99" s="88"/>
      <c r="C99" s="88"/>
      <c r="D99" s="88"/>
      <c r="E99" s="88"/>
      <c r="F99" s="88"/>
      <c r="G99" s="88"/>
      <c r="H99" s="133"/>
      <c r="I99" s="801"/>
      <c r="J99" s="801"/>
      <c r="K99" s="801"/>
      <c r="L99" s="801"/>
      <c r="M99" s="801"/>
      <c r="N99" s="801"/>
      <c r="O99" s="962"/>
    </row>
    <row r="100" spans="1:15">
      <c r="A100" s="88"/>
      <c r="B100" s="88"/>
      <c r="C100" s="88"/>
      <c r="D100" s="88"/>
      <c r="E100" s="88"/>
      <c r="F100" s="88"/>
      <c r="G100" s="88"/>
      <c r="H100" s="133"/>
      <c r="I100" s="88"/>
      <c r="J100" s="88"/>
      <c r="K100" s="88"/>
      <c r="L100" s="776"/>
      <c r="M100" s="776"/>
      <c r="N100" s="88"/>
      <c r="O100" s="962"/>
    </row>
    <row r="101" spans="1:15">
      <c r="A101" s="88"/>
      <c r="B101" s="88"/>
      <c r="C101" s="88"/>
      <c r="D101" s="88"/>
      <c r="E101" s="88"/>
      <c r="F101" s="88"/>
      <c r="G101" s="88"/>
      <c r="H101" s="133"/>
      <c r="I101" s="88"/>
      <c r="J101" s="88"/>
      <c r="K101" s="88"/>
      <c r="L101" s="776"/>
      <c r="M101" s="776"/>
      <c r="N101" s="88"/>
      <c r="O101" s="962"/>
    </row>
    <row r="102" spans="1:15" s="961" customFormat="1">
      <c r="A102" s="962" t="s">
        <v>1076</v>
      </c>
      <c r="B102" s="962"/>
      <c r="C102" s="962"/>
      <c r="D102" s="962"/>
      <c r="E102" s="962"/>
      <c r="F102" s="962"/>
      <c r="G102" s="962"/>
      <c r="H102" s="987"/>
      <c r="I102" s="962"/>
      <c r="J102" s="962"/>
      <c r="K102" s="962"/>
      <c r="L102" s="962"/>
      <c r="M102" s="962"/>
      <c r="N102" s="962"/>
      <c r="O102" s="962"/>
    </row>
    <row r="103" spans="1:15" s="961" customFormat="1">
      <c r="A103" s="1063" t="s">
        <v>1074</v>
      </c>
      <c r="B103" s="962"/>
      <c r="C103" s="962"/>
      <c r="D103" s="962"/>
      <c r="E103" s="962"/>
      <c r="F103" s="962"/>
      <c r="G103" s="962"/>
      <c r="H103" s="987"/>
      <c r="I103" s="962"/>
      <c r="J103" s="962"/>
      <c r="K103" s="962"/>
      <c r="L103" s="962"/>
      <c r="M103" s="962"/>
      <c r="N103" s="962"/>
      <c r="O103" s="962"/>
    </row>
    <row r="104" spans="1:15" s="961" customFormat="1">
      <c r="A104" s="1063" t="s">
        <v>1075</v>
      </c>
      <c r="B104" s="962"/>
      <c r="C104" s="962"/>
      <c r="D104" s="962"/>
      <c r="E104" s="962"/>
      <c r="F104" s="962"/>
      <c r="G104" s="962"/>
      <c r="H104" s="987"/>
      <c r="I104" s="962"/>
      <c r="J104" s="962"/>
      <c r="K104" s="962"/>
      <c r="L104" s="962"/>
      <c r="M104" s="962"/>
      <c r="N104" s="962"/>
      <c r="O104" s="962"/>
    </row>
    <row r="105" spans="1:15" s="961" customFormat="1">
      <c r="A105" s="1063" t="s">
        <v>1077</v>
      </c>
      <c r="B105" s="962"/>
      <c r="C105" s="962"/>
      <c r="D105" s="962"/>
      <c r="E105" s="962"/>
      <c r="F105" s="962"/>
      <c r="G105" s="962"/>
      <c r="H105" s="987"/>
      <c r="I105" s="962"/>
      <c r="J105" s="962"/>
      <c r="K105" s="962"/>
      <c r="L105" s="962"/>
      <c r="M105" s="962"/>
      <c r="N105" s="962"/>
      <c r="O105" s="962"/>
    </row>
    <row r="106" spans="1:15">
      <c r="A106" s="286"/>
      <c r="B106" s="286"/>
      <c r="C106" s="286"/>
      <c r="D106" s="286"/>
      <c r="E106" s="286"/>
      <c r="F106" s="286"/>
      <c r="G106" s="286"/>
      <c r="H106" s="133"/>
      <c r="I106" s="286"/>
      <c r="J106" s="286"/>
      <c r="K106" s="286"/>
      <c r="L106" s="776"/>
      <c r="M106" s="776"/>
      <c r="N106" s="286"/>
      <c r="O106" s="962"/>
    </row>
    <row r="107" spans="1:15">
      <c r="A107" s="286"/>
      <c r="B107" s="286"/>
      <c r="C107" s="286"/>
      <c r="D107" s="286"/>
      <c r="E107" s="286"/>
      <c r="F107" s="286"/>
      <c r="G107" s="286"/>
      <c r="H107" s="133"/>
      <c r="I107" s="286"/>
      <c r="J107" s="286"/>
      <c r="K107" s="286"/>
      <c r="L107" s="776"/>
      <c r="M107" s="776"/>
      <c r="N107" s="286"/>
      <c r="O107" s="962"/>
    </row>
    <row r="108" spans="1:15">
      <c r="A108" s="286"/>
      <c r="B108" s="286"/>
      <c r="C108" s="286"/>
      <c r="D108" s="286"/>
      <c r="E108" s="286"/>
      <c r="F108" s="286"/>
      <c r="G108" s="286"/>
      <c r="H108" s="133"/>
      <c r="I108" s="286"/>
      <c r="J108" s="286"/>
      <c r="K108" s="286"/>
      <c r="L108" s="776"/>
      <c r="M108" s="776"/>
      <c r="N108" s="286"/>
      <c r="O108" s="962"/>
    </row>
    <row r="109" spans="1:15">
      <c r="A109" s="286"/>
      <c r="B109" s="286"/>
      <c r="C109" s="286"/>
      <c r="D109" s="286"/>
      <c r="E109" s="286"/>
      <c r="F109" s="286"/>
      <c r="G109" s="286"/>
      <c r="H109" s="133"/>
      <c r="I109" s="286"/>
      <c r="J109" s="286"/>
      <c r="K109" s="286"/>
      <c r="L109" s="776"/>
      <c r="M109" s="776"/>
      <c r="N109" s="286"/>
      <c r="O109" s="962"/>
    </row>
    <row r="110" spans="1:15">
      <c r="A110" s="286"/>
      <c r="B110" s="286"/>
      <c r="C110" s="286"/>
      <c r="D110" s="286"/>
      <c r="E110" s="286"/>
      <c r="F110" s="286"/>
      <c r="G110" s="286"/>
      <c r="H110" s="133"/>
      <c r="I110" s="286"/>
      <c r="J110" s="286"/>
      <c r="K110" s="286"/>
      <c r="L110" s="776"/>
      <c r="M110" s="776"/>
      <c r="N110" s="286"/>
      <c r="O110" s="962"/>
    </row>
    <row r="111" spans="1:15">
      <c r="A111" s="286"/>
      <c r="B111" s="286"/>
      <c r="C111" s="286"/>
      <c r="D111" s="286"/>
      <c r="E111" s="286"/>
      <c r="F111" s="286"/>
      <c r="G111" s="286"/>
      <c r="H111" s="133"/>
      <c r="I111" s="286"/>
      <c r="J111" s="286"/>
      <c r="K111" s="286"/>
      <c r="L111" s="776"/>
      <c r="M111" s="776"/>
      <c r="N111" s="286"/>
      <c r="O111" s="962"/>
    </row>
    <row r="112" spans="1:15">
      <c r="A112" s="286"/>
      <c r="B112" s="286"/>
      <c r="C112" s="286"/>
      <c r="D112" s="286"/>
      <c r="E112" s="286"/>
      <c r="F112" s="286"/>
      <c r="G112" s="286"/>
      <c r="H112" s="133"/>
      <c r="I112" s="286"/>
      <c r="J112" s="286"/>
      <c r="K112" s="286"/>
      <c r="L112" s="776"/>
      <c r="M112" s="776"/>
      <c r="N112" s="286"/>
      <c r="O112" s="962"/>
    </row>
    <row r="113" spans="1:15">
      <c r="A113" s="286"/>
      <c r="B113" s="286"/>
      <c r="C113" s="286"/>
      <c r="D113" s="286"/>
      <c r="E113" s="286"/>
      <c r="F113" s="286"/>
      <c r="G113" s="286"/>
      <c r="H113" s="133"/>
      <c r="I113" s="286"/>
      <c r="J113" s="286"/>
      <c r="K113" s="286"/>
      <c r="L113" s="776"/>
      <c r="M113" s="776"/>
      <c r="N113" s="286"/>
      <c r="O113" s="962"/>
    </row>
    <row r="114" spans="1:15">
      <c r="A114" s="286"/>
      <c r="B114" s="286"/>
      <c r="C114" s="286"/>
      <c r="D114" s="286"/>
      <c r="E114" s="286"/>
      <c r="F114" s="286"/>
      <c r="G114" s="286"/>
      <c r="H114" s="133"/>
      <c r="I114" s="286"/>
      <c r="J114" s="286"/>
      <c r="K114" s="286"/>
      <c r="L114" s="776"/>
      <c r="M114" s="776"/>
      <c r="N114" s="286"/>
      <c r="O114" s="962"/>
    </row>
    <row r="115" spans="1:15">
      <c r="A115" s="286"/>
      <c r="B115" s="286"/>
      <c r="C115" s="286"/>
      <c r="D115" s="286"/>
      <c r="E115" s="286"/>
      <c r="F115" s="286"/>
      <c r="G115" s="286"/>
      <c r="H115" s="133"/>
      <c r="I115" s="286"/>
      <c r="J115" s="286"/>
      <c r="K115" s="286"/>
      <c r="L115" s="776"/>
      <c r="M115" s="776"/>
      <c r="N115" s="286"/>
      <c r="O115" s="962"/>
    </row>
    <row r="116" spans="1:15">
      <c r="A116" s="286"/>
      <c r="B116" s="286"/>
      <c r="C116" s="286"/>
      <c r="D116" s="286"/>
      <c r="E116" s="286"/>
      <c r="F116" s="286"/>
      <c r="G116" s="286"/>
      <c r="H116" s="133"/>
      <c r="I116" s="286"/>
      <c r="J116" s="286"/>
      <c r="K116" s="286"/>
      <c r="L116" s="776"/>
      <c r="M116" s="776"/>
      <c r="N116" s="286"/>
      <c r="O116" s="962"/>
    </row>
    <row r="117" spans="1:15">
      <c r="A117" s="286"/>
      <c r="B117" s="286"/>
      <c r="C117" s="286"/>
      <c r="D117" s="286"/>
      <c r="E117" s="286"/>
      <c r="F117" s="286"/>
      <c r="G117" s="286"/>
      <c r="H117" s="133"/>
      <c r="I117" s="286"/>
      <c r="J117" s="286"/>
      <c r="K117" s="286"/>
      <c r="L117" s="776"/>
      <c r="M117" s="776"/>
      <c r="N117" s="286"/>
      <c r="O117" s="962"/>
    </row>
    <row r="118" spans="1:15">
      <c r="A118" s="286"/>
      <c r="B118" s="286"/>
      <c r="C118" s="286"/>
      <c r="D118" s="286"/>
      <c r="E118" s="286"/>
      <c r="F118" s="286"/>
      <c r="G118" s="286"/>
      <c r="H118" s="133"/>
      <c r="I118" s="286"/>
      <c r="J118" s="286"/>
      <c r="K118" s="286"/>
      <c r="L118" s="776"/>
      <c r="M118" s="776"/>
      <c r="N118" s="286"/>
      <c r="O118" s="962"/>
    </row>
    <row r="119" spans="1:15">
      <c r="A119" s="286"/>
      <c r="B119" s="286"/>
      <c r="C119" s="286"/>
      <c r="D119" s="286"/>
      <c r="E119" s="286"/>
      <c r="F119" s="286"/>
      <c r="G119" s="286"/>
      <c r="H119" s="133"/>
      <c r="I119" s="286"/>
      <c r="J119" s="286"/>
      <c r="K119" s="286"/>
      <c r="L119" s="776"/>
      <c r="M119" s="776"/>
      <c r="N119" s="286"/>
      <c r="O119" s="962"/>
    </row>
    <row r="120" spans="1:15">
      <c r="A120" s="286"/>
      <c r="B120" s="286"/>
      <c r="C120" s="286"/>
      <c r="D120" s="286"/>
      <c r="E120" s="286"/>
      <c r="F120" s="286"/>
      <c r="G120" s="286"/>
      <c r="H120" s="133"/>
      <c r="I120" s="286"/>
      <c r="J120" s="286"/>
      <c r="K120" s="286"/>
      <c r="L120" s="776"/>
      <c r="M120" s="776"/>
      <c r="N120" s="286"/>
      <c r="O120" s="962"/>
    </row>
    <row r="121" spans="1:15">
      <c r="A121" s="286"/>
      <c r="B121" s="286"/>
      <c r="C121" s="286"/>
      <c r="D121" s="286"/>
      <c r="E121" s="286"/>
      <c r="F121" s="286"/>
      <c r="G121" s="286"/>
      <c r="H121" s="133"/>
      <c r="I121" s="286"/>
      <c r="J121" s="286"/>
      <c r="K121" s="286"/>
      <c r="L121" s="776"/>
      <c r="M121" s="776"/>
      <c r="N121" s="286"/>
      <c r="O121" s="962"/>
    </row>
    <row r="122" spans="1:15">
      <c r="A122" s="286"/>
      <c r="B122" s="286"/>
      <c r="C122" s="286"/>
      <c r="D122" s="286"/>
      <c r="E122" s="286"/>
      <c r="F122" s="286"/>
      <c r="G122" s="286"/>
      <c r="H122" s="133"/>
      <c r="I122" s="286"/>
      <c r="J122" s="286"/>
      <c r="K122" s="286"/>
      <c r="L122" s="776"/>
      <c r="M122" s="776"/>
      <c r="N122" s="286"/>
      <c r="O122" s="962"/>
    </row>
    <row r="123" spans="1:15">
      <c r="A123" s="286"/>
      <c r="B123" s="286"/>
      <c r="C123" s="286"/>
      <c r="D123" s="286"/>
      <c r="E123" s="286"/>
      <c r="F123" s="286"/>
      <c r="G123" s="286"/>
      <c r="H123" s="133"/>
      <c r="I123" s="286"/>
      <c r="J123" s="286"/>
      <c r="K123" s="286"/>
      <c r="L123" s="776"/>
      <c r="M123" s="776"/>
      <c r="N123" s="286"/>
      <c r="O123" s="962"/>
    </row>
    <row r="124" spans="1:15">
      <c r="A124" s="286"/>
      <c r="B124" s="286"/>
      <c r="C124" s="286"/>
      <c r="D124" s="286"/>
      <c r="E124" s="286"/>
      <c r="F124" s="286"/>
      <c r="G124" s="286"/>
      <c r="H124" s="133"/>
      <c r="I124" s="286"/>
      <c r="J124" s="286"/>
      <c r="K124" s="286"/>
      <c r="L124" s="776"/>
      <c r="M124" s="776"/>
      <c r="N124" s="286"/>
      <c r="O124" s="962"/>
    </row>
    <row r="125" spans="1:15">
      <c r="A125" s="286"/>
      <c r="B125" s="286"/>
      <c r="C125" s="286"/>
      <c r="D125" s="286"/>
      <c r="E125" s="286"/>
      <c r="F125" s="286"/>
      <c r="G125" s="286"/>
      <c r="H125" s="133"/>
      <c r="I125" s="286"/>
      <c r="J125" s="286"/>
      <c r="K125" s="286"/>
      <c r="L125" s="776"/>
      <c r="M125" s="776"/>
      <c r="N125" s="286"/>
      <c r="O125" s="962"/>
    </row>
    <row r="126" spans="1:15">
      <c r="A126" s="286"/>
      <c r="B126" s="286"/>
      <c r="C126" s="286"/>
      <c r="D126" s="286"/>
      <c r="E126" s="286"/>
      <c r="F126" s="286"/>
      <c r="G126" s="286"/>
      <c r="H126" s="133"/>
      <c r="I126" s="286"/>
      <c r="J126" s="286"/>
      <c r="K126" s="286"/>
      <c r="L126" s="776"/>
      <c r="M126" s="776"/>
      <c r="N126" s="286"/>
      <c r="O126" s="962"/>
    </row>
    <row r="127" spans="1:15">
      <c r="A127" s="286"/>
      <c r="B127" s="286"/>
      <c r="C127" s="286"/>
      <c r="D127" s="286"/>
      <c r="E127" s="286"/>
      <c r="F127" s="286"/>
      <c r="G127" s="286"/>
      <c r="H127" s="133"/>
      <c r="I127" s="286"/>
      <c r="J127" s="286"/>
      <c r="K127" s="286"/>
      <c r="L127" s="776"/>
      <c r="M127" s="776"/>
      <c r="N127" s="286"/>
      <c r="O127" s="962"/>
    </row>
    <row r="128" spans="1:15">
      <c r="A128" s="286"/>
      <c r="B128" s="286"/>
      <c r="C128" s="286"/>
      <c r="D128" s="286"/>
      <c r="E128" s="286"/>
      <c r="F128" s="286"/>
      <c r="G128" s="286"/>
      <c r="H128" s="133"/>
      <c r="I128" s="286"/>
      <c r="J128" s="286"/>
      <c r="K128" s="286"/>
      <c r="L128" s="776"/>
      <c r="M128" s="776"/>
      <c r="N128" s="286"/>
      <c r="O128" s="962"/>
    </row>
    <row r="129" spans="1:15">
      <c r="A129" s="286"/>
      <c r="B129" s="286"/>
      <c r="C129" s="286"/>
      <c r="D129" s="286"/>
      <c r="E129" s="286"/>
      <c r="F129" s="286"/>
      <c r="G129" s="286"/>
      <c r="H129" s="133"/>
      <c r="I129" s="286"/>
      <c r="J129" s="286"/>
      <c r="K129" s="286"/>
      <c r="L129" s="776"/>
      <c r="M129" s="776"/>
      <c r="N129" s="286"/>
      <c r="O129" s="962"/>
    </row>
    <row r="130" spans="1:15">
      <c r="A130" s="286"/>
      <c r="B130" s="286"/>
      <c r="C130" s="286"/>
      <c r="D130" s="286"/>
      <c r="E130" s="286"/>
      <c r="F130" s="286"/>
      <c r="G130" s="286"/>
      <c r="H130" s="133"/>
      <c r="I130" s="286"/>
      <c r="J130" s="286"/>
      <c r="K130" s="286"/>
      <c r="L130" s="776"/>
      <c r="M130" s="776"/>
      <c r="N130" s="286"/>
      <c r="O130" s="962"/>
    </row>
    <row r="131" spans="1:15">
      <c r="A131" s="286"/>
      <c r="B131" s="286"/>
      <c r="C131" s="286"/>
      <c r="D131" s="286"/>
      <c r="E131" s="286"/>
      <c r="F131" s="286"/>
      <c r="G131" s="286"/>
      <c r="H131" s="133"/>
      <c r="I131" s="286"/>
      <c r="J131" s="286"/>
      <c r="K131" s="286"/>
      <c r="L131" s="776"/>
      <c r="M131" s="776"/>
      <c r="N131" s="286"/>
      <c r="O131" s="962"/>
    </row>
    <row r="132" spans="1:15">
      <c r="A132" s="286"/>
      <c r="B132" s="286"/>
      <c r="C132" s="286"/>
      <c r="D132" s="286"/>
      <c r="E132" s="286"/>
      <c r="F132" s="286"/>
      <c r="G132" s="286"/>
      <c r="H132" s="133"/>
      <c r="I132" s="286"/>
      <c r="J132" s="286"/>
      <c r="K132" s="286"/>
      <c r="L132" s="776"/>
      <c r="M132" s="776"/>
      <c r="N132" s="286"/>
      <c r="O132" s="962"/>
    </row>
    <row r="133" spans="1:15">
      <c r="A133" s="286"/>
      <c r="B133" s="286"/>
      <c r="C133" s="286"/>
      <c r="D133" s="286"/>
      <c r="E133" s="286"/>
      <c r="F133" s="286"/>
      <c r="G133" s="286"/>
      <c r="H133" s="133"/>
      <c r="I133" s="286"/>
      <c r="J133" s="286"/>
      <c r="K133" s="286"/>
      <c r="L133" s="776"/>
      <c r="M133" s="776"/>
      <c r="N133" s="286"/>
      <c r="O133" s="962"/>
    </row>
    <row r="134" spans="1:15">
      <c r="A134" s="286"/>
      <c r="B134" s="286"/>
      <c r="C134" s="286"/>
      <c r="D134" s="286"/>
      <c r="E134" s="286"/>
      <c r="F134" s="286"/>
      <c r="G134" s="286"/>
      <c r="H134" s="133"/>
      <c r="I134" s="286"/>
      <c r="J134" s="286"/>
      <c r="K134" s="286"/>
      <c r="L134" s="776"/>
      <c r="M134" s="776"/>
      <c r="N134" s="286"/>
      <c r="O134" s="962"/>
    </row>
    <row r="135" spans="1:15">
      <c r="A135" s="286"/>
      <c r="B135" s="286"/>
      <c r="C135" s="286"/>
      <c r="D135" s="286"/>
      <c r="E135" s="286"/>
      <c r="F135" s="286"/>
      <c r="G135" s="286"/>
      <c r="H135" s="133"/>
      <c r="I135" s="286"/>
      <c r="J135" s="286"/>
      <c r="K135" s="286"/>
      <c r="L135" s="776"/>
      <c r="M135" s="776"/>
      <c r="N135" s="286"/>
      <c r="O135" s="962"/>
    </row>
    <row r="136" spans="1:15">
      <c r="A136" s="286"/>
      <c r="B136" s="286"/>
      <c r="C136" s="286"/>
      <c r="D136" s="286"/>
      <c r="E136" s="286"/>
      <c r="F136" s="286"/>
      <c r="G136" s="286"/>
      <c r="H136" s="133"/>
      <c r="I136" s="286"/>
      <c r="J136" s="286"/>
      <c r="K136" s="286"/>
      <c r="L136" s="776"/>
      <c r="M136" s="776"/>
      <c r="N136" s="286"/>
      <c r="O136" s="962"/>
    </row>
    <row r="137" spans="1:15">
      <c r="A137" s="286"/>
      <c r="B137" s="286"/>
      <c r="C137" s="286"/>
      <c r="D137" s="286"/>
      <c r="E137" s="286"/>
      <c r="F137" s="286"/>
      <c r="G137" s="286"/>
      <c r="H137" s="133"/>
      <c r="I137" s="286"/>
      <c r="J137" s="286"/>
      <c r="K137" s="286"/>
      <c r="L137" s="776"/>
      <c r="M137" s="776"/>
      <c r="N137" s="286"/>
      <c r="O137" s="962"/>
    </row>
    <row r="138" spans="1:15">
      <c r="A138" s="286"/>
      <c r="B138" s="286"/>
      <c r="C138" s="286"/>
      <c r="D138" s="286"/>
      <c r="E138" s="286"/>
      <c r="F138" s="286"/>
      <c r="G138" s="286"/>
      <c r="H138" s="133"/>
      <c r="I138" s="286"/>
      <c r="J138" s="286"/>
      <c r="K138" s="286"/>
      <c r="L138" s="776"/>
      <c r="M138" s="776"/>
      <c r="N138" s="286"/>
      <c r="O138" s="962"/>
    </row>
    <row r="139" spans="1:15">
      <c r="A139" s="286"/>
      <c r="B139" s="286"/>
      <c r="C139" s="286"/>
      <c r="D139" s="286"/>
      <c r="E139" s="286"/>
      <c r="F139" s="286"/>
      <c r="G139" s="286"/>
      <c r="H139" s="133"/>
      <c r="I139" s="286"/>
      <c r="J139" s="286"/>
      <c r="K139" s="286"/>
      <c r="L139" s="776"/>
      <c r="M139" s="776"/>
      <c r="N139" s="286"/>
      <c r="O139" s="962"/>
    </row>
    <row r="140" spans="1:15">
      <c r="A140" s="286"/>
      <c r="B140" s="286"/>
      <c r="C140" s="286"/>
      <c r="D140" s="286"/>
      <c r="E140" s="286"/>
      <c r="F140" s="286"/>
      <c r="G140" s="286"/>
      <c r="H140" s="133"/>
      <c r="I140" s="286"/>
      <c r="J140" s="286"/>
      <c r="K140" s="286"/>
      <c r="L140" s="776"/>
      <c r="M140" s="776"/>
      <c r="N140" s="286"/>
      <c r="O140" s="962"/>
    </row>
    <row r="141" spans="1:15">
      <c r="A141" s="133"/>
      <c r="B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987"/>
    </row>
    <row r="142" spans="1:15">
      <c r="A142" s="134" t="s">
        <v>223</v>
      </c>
      <c r="B142" s="92"/>
      <c r="C142" s="92"/>
      <c r="D142" s="116"/>
      <c r="E142" s="115"/>
    </row>
    <row r="143" spans="1:15">
      <c r="A143" s="1324" t="s">
        <v>60</v>
      </c>
      <c r="B143" s="1311"/>
      <c r="C143" s="108"/>
      <c r="D143" s="111"/>
      <c r="E143" s="98"/>
    </row>
    <row r="144" spans="1:15">
      <c r="A144" s="101" t="s">
        <v>233</v>
      </c>
      <c r="B144" s="108"/>
      <c r="C144" s="108"/>
      <c r="D144" s="111"/>
      <c r="E144" s="135" t="s">
        <v>228</v>
      </c>
      <c r="F144" s="86"/>
      <c r="H144" s="86"/>
      <c r="J144" s="86"/>
      <c r="L144" s="86"/>
      <c r="N144" s="86"/>
    </row>
    <row r="145" spans="1:14">
      <c r="A145" s="101"/>
      <c r="B145" s="108"/>
      <c r="C145" s="108"/>
      <c r="D145" s="111"/>
      <c r="E145" s="98"/>
      <c r="F145" s="86"/>
      <c r="H145" s="86"/>
      <c r="J145" s="86"/>
      <c r="L145" s="86"/>
      <c r="N145" s="86"/>
    </row>
    <row r="146" spans="1:14">
      <c r="A146" s="136" t="s">
        <v>61</v>
      </c>
      <c r="B146" s="108"/>
      <c r="C146" s="108"/>
      <c r="D146" s="111" t="s">
        <v>15</v>
      </c>
      <c r="E146" s="7">
        <v>689000</v>
      </c>
      <c r="F146" s="86"/>
      <c r="H146" s="86"/>
      <c r="J146" s="86"/>
      <c r="L146" s="86"/>
      <c r="N146" s="86"/>
    </row>
    <row r="147" spans="1:14">
      <c r="A147" s="136" t="s">
        <v>80</v>
      </c>
      <c r="B147" s="108"/>
      <c r="C147" s="108"/>
      <c r="D147" s="111"/>
      <c r="E147" s="7">
        <v>106000</v>
      </c>
      <c r="F147" s="86"/>
      <c r="H147" s="86"/>
      <c r="J147" s="86"/>
      <c r="L147" s="86"/>
      <c r="N147" s="86"/>
    </row>
    <row r="148" spans="1:14" ht="15.75">
      <c r="A148" s="136" t="s">
        <v>77</v>
      </c>
      <c r="B148" s="108"/>
      <c r="C148" s="108"/>
      <c r="D148" s="111"/>
      <c r="E148" s="137">
        <v>60000</v>
      </c>
      <c r="F148" s="86"/>
      <c r="H148" s="86"/>
      <c r="J148" s="86"/>
      <c r="L148" s="86"/>
      <c r="N148" s="86"/>
    </row>
    <row r="149" spans="1:14">
      <c r="A149" s="1320" t="s">
        <v>64</v>
      </c>
      <c r="B149" s="1321"/>
      <c r="C149" s="108"/>
      <c r="D149" s="111" t="s">
        <v>15</v>
      </c>
      <c r="E149" s="7">
        <f>SUM(E146:E148)</f>
        <v>855000</v>
      </c>
      <c r="F149" s="86"/>
      <c r="H149" s="86"/>
      <c r="J149" s="86"/>
      <c r="L149" s="86"/>
      <c r="N149" s="86"/>
    </row>
    <row r="150" spans="1:14">
      <c r="A150" s="138"/>
      <c r="B150" s="90"/>
      <c r="C150" s="90"/>
      <c r="D150" s="139"/>
      <c r="E150" s="112"/>
      <c r="F150" s="86"/>
      <c r="H150" s="86"/>
      <c r="J150" s="86"/>
      <c r="L150" s="86"/>
      <c r="N150" s="86"/>
    </row>
    <row r="152" spans="1:14">
      <c r="A152" s="134" t="s">
        <v>223</v>
      </c>
      <c r="B152" s="92"/>
      <c r="C152" s="92"/>
      <c r="D152" s="116"/>
      <c r="E152" s="115"/>
    </row>
    <row r="153" spans="1:14">
      <c r="A153" s="1324" t="s">
        <v>60</v>
      </c>
      <c r="B153" s="1311"/>
      <c r="C153" s="108"/>
      <c r="D153" s="111"/>
      <c r="E153" s="98"/>
    </row>
    <row r="154" spans="1:14">
      <c r="A154" s="101" t="s">
        <v>233</v>
      </c>
      <c r="B154" s="108"/>
      <c r="C154" s="108"/>
      <c r="D154" s="111"/>
      <c r="E154" s="135" t="s">
        <v>300</v>
      </c>
      <c r="F154" s="86"/>
      <c r="H154" s="86"/>
      <c r="J154" s="86"/>
      <c r="L154" s="86"/>
      <c r="N154" s="86"/>
    </row>
    <row r="155" spans="1:14">
      <c r="A155" s="101"/>
      <c r="B155" s="108"/>
      <c r="C155" s="108"/>
      <c r="D155" s="111"/>
      <c r="E155" s="98"/>
      <c r="F155" s="86"/>
      <c r="H155" s="86"/>
      <c r="J155" s="86"/>
      <c r="L155" s="86"/>
      <c r="N155" s="86"/>
    </row>
    <row r="156" spans="1:14">
      <c r="A156" s="136" t="s">
        <v>61</v>
      </c>
      <c r="B156" s="108"/>
      <c r="C156" s="108"/>
      <c r="D156" s="111" t="s">
        <v>15</v>
      </c>
      <c r="E156" s="7">
        <v>721000</v>
      </c>
      <c r="F156" s="86"/>
      <c r="H156" s="86"/>
      <c r="J156" s="86"/>
      <c r="L156" s="86"/>
      <c r="N156" s="86"/>
    </row>
    <row r="157" spans="1:14">
      <c r="A157" s="136" t="s">
        <v>80</v>
      </c>
      <c r="B157" s="108"/>
      <c r="C157" s="108"/>
      <c r="D157" s="111"/>
      <c r="E157" s="7">
        <v>106000</v>
      </c>
      <c r="F157" s="86"/>
      <c r="H157" s="86"/>
      <c r="J157" s="86"/>
      <c r="L157" s="86"/>
      <c r="N157" s="86"/>
    </row>
    <row r="158" spans="1:14">
      <c r="A158" s="136" t="s">
        <v>77</v>
      </c>
      <c r="B158" s="108"/>
      <c r="C158" s="108"/>
      <c r="D158" s="111"/>
      <c r="E158" s="7">
        <v>123000</v>
      </c>
      <c r="F158" s="86"/>
      <c r="H158" s="86"/>
      <c r="J158" s="86"/>
      <c r="L158" s="86"/>
      <c r="N158" s="86"/>
    </row>
    <row r="159" spans="1:14" ht="15.75">
      <c r="A159" s="136" t="s">
        <v>323</v>
      </c>
      <c r="B159" s="108"/>
      <c r="C159" s="108"/>
      <c r="D159" s="111"/>
      <c r="E159" s="137">
        <v>390000</v>
      </c>
      <c r="F159" s="86"/>
      <c r="H159" s="86"/>
      <c r="J159" s="86"/>
      <c r="L159" s="86"/>
      <c r="N159" s="86"/>
    </row>
    <row r="160" spans="1:14">
      <c r="A160" s="1320" t="s">
        <v>64</v>
      </c>
      <c r="B160" s="1321"/>
      <c r="C160" s="108"/>
      <c r="D160" s="111" t="s">
        <v>15</v>
      </c>
      <c r="E160" s="7">
        <f>SUM(E156:E159)</f>
        <v>1340000</v>
      </c>
      <c r="F160" s="86"/>
      <c r="H160" s="86"/>
      <c r="J160" s="86"/>
      <c r="L160" s="86"/>
      <c r="N160" s="86"/>
    </row>
    <row r="161" spans="1:14">
      <c r="A161" s="138"/>
      <c r="B161" s="90"/>
      <c r="C161" s="90"/>
      <c r="D161" s="139"/>
      <c r="E161" s="112"/>
      <c r="F161" s="86"/>
      <c r="H161" s="86"/>
      <c r="J161" s="86"/>
      <c r="L161" s="86"/>
      <c r="N161" s="86"/>
    </row>
  </sheetData>
  <sheetProtection algorithmName="SHA-512" hashValue="4W2xuHxHFKaXDrk4HUH29Mh3HyspIt/IvyJ5P4+QgMYNT+ahAsl+BFf1UGPbzkvTqy54pxKfHwvqj65nA7sH1Q==" saltValue="/qxnxOo4mLR8e1MwA4FToQ==" spinCount="100000" sheet="1" objects="1" scenarios="1"/>
  <mergeCells count="30">
    <mergeCell ref="A153:B153"/>
    <mergeCell ref="A88:B88"/>
    <mergeCell ref="A90:B90"/>
    <mergeCell ref="A160:B160"/>
    <mergeCell ref="A149:B149"/>
    <mergeCell ref="A96:B96"/>
    <mergeCell ref="A143:B143"/>
    <mergeCell ref="A97:B97"/>
    <mergeCell ref="N11:O13"/>
    <mergeCell ref="F13:G13"/>
    <mergeCell ref="I96:M96"/>
    <mergeCell ref="I97:M97"/>
    <mergeCell ref="A37:B37"/>
    <mergeCell ref="A57:B57"/>
    <mergeCell ref="C96:G96"/>
    <mergeCell ref="C97:G97"/>
    <mergeCell ref="A3:M3"/>
    <mergeCell ref="A4:M4"/>
    <mergeCell ref="A12:B12"/>
    <mergeCell ref="D12:E12"/>
    <mergeCell ref="J12:K13"/>
    <mergeCell ref="F11:K11"/>
    <mergeCell ref="H13:I13"/>
    <mergeCell ref="H12:I12"/>
    <mergeCell ref="D13:E13"/>
    <mergeCell ref="F12:G12"/>
    <mergeCell ref="D11:E11"/>
    <mergeCell ref="L11:M11"/>
    <mergeCell ref="L12:M12"/>
    <mergeCell ref="L13:M13"/>
  </mergeCells>
  <phoneticPr fontId="0" type="noConversion"/>
  <pageMargins left="0.15748031496063" right="0" top="1.5" bottom="1" header="0.39370078740157499" footer="0.27559055118110198"/>
  <pageSetup paperSize="14" orientation="portrait" verticalDpi="300" r:id="rId1"/>
  <headerFooter alignWithMargins="0">
    <oddHeader>&amp;RPage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V194"/>
  <sheetViews>
    <sheetView topLeftCell="A76" zoomScale="190" zoomScaleNormal="190" workbookViewId="0">
      <selection activeCell="N22" sqref="N22"/>
    </sheetView>
  </sheetViews>
  <sheetFormatPr defaultColWidth="9.140625" defaultRowHeight="13.5"/>
  <cols>
    <col min="1" max="1" width="8.7109375" style="86" customWidth="1"/>
    <col min="2" max="2" width="26.5703125" style="86" customWidth="1"/>
    <col min="3" max="3" width="8.28515625" style="86" customWidth="1"/>
    <col min="4" max="4" width="1.42578125" style="87" customWidth="1"/>
    <col min="5" max="5" width="10.28515625" style="86" customWidth="1"/>
    <col min="6" max="6" width="1.5703125" style="87" customWidth="1"/>
    <col min="7" max="7" width="9.7109375" style="86" customWidth="1"/>
    <col min="8" max="8" width="1.42578125" style="87" customWidth="1"/>
    <col min="9" max="9" width="10.28515625" style="86" bestFit="1" customWidth="1"/>
    <col min="10" max="10" width="2" style="87" customWidth="1"/>
    <col min="11" max="11" width="11" style="86" customWidth="1"/>
    <col min="12" max="12" width="1.5703125" style="87" customWidth="1"/>
    <col min="13" max="13" width="11" style="86" customWidth="1"/>
    <col min="14" max="14" width="1.5703125" style="966" hidden="1" customWidth="1"/>
    <col min="15" max="15" width="9.85546875" style="961" hidden="1" customWidth="1"/>
    <col min="16" max="16" width="12.7109375" style="961" hidden="1" customWidth="1"/>
    <col min="17" max="17" width="11.140625" style="961" customWidth="1"/>
    <col min="18" max="18" width="10.28515625" style="961" customWidth="1"/>
    <col min="19" max="22" width="9.140625" style="961"/>
    <col min="23" max="16384" width="9.140625" style="86"/>
  </cols>
  <sheetData>
    <row r="1" spans="1:20">
      <c r="A1" s="86" t="s">
        <v>186</v>
      </c>
    </row>
    <row r="2" spans="1:20" ht="6.75" customHeight="1"/>
    <row r="3" spans="1:20" ht="12.75" customHeight="1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967"/>
      <c r="O3" s="967"/>
      <c r="P3" s="962"/>
      <c r="Q3" s="962"/>
      <c r="R3" s="962"/>
      <c r="S3" s="962"/>
      <c r="T3" s="962"/>
    </row>
    <row r="4" spans="1:20" ht="10.5" customHeight="1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967"/>
      <c r="O4" s="967"/>
      <c r="P4" s="962"/>
      <c r="Q4" s="962"/>
      <c r="R4" s="962"/>
      <c r="S4" s="962"/>
      <c r="T4" s="962"/>
    </row>
    <row r="5" spans="1:20" ht="7.5" customHeight="1"/>
    <row r="6" spans="1:20">
      <c r="A6" s="89" t="s">
        <v>85</v>
      </c>
      <c r="B6" s="90" t="s">
        <v>434</v>
      </c>
      <c r="C6" s="90"/>
    </row>
    <row r="7" spans="1:20" hidden="1">
      <c r="A7" s="86" t="s">
        <v>2</v>
      </c>
      <c r="B7" s="91" t="s">
        <v>435</v>
      </c>
      <c r="C7" s="91"/>
      <c r="J7" s="1338"/>
      <c r="K7" s="1338"/>
      <c r="L7" s="1338"/>
      <c r="M7" s="1338"/>
      <c r="N7" s="968"/>
      <c r="O7" s="968"/>
    </row>
    <row r="8" spans="1:20" hidden="1">
      <c r="A8" s="86" t="s">
        <v>3</v>
      </c>
      <c r="B8" s="91" t="s">
        <v>436</v>
      </c>
      <c r="C8" s="91"/>
      <c r="J8" s="1322"/>
      <c r="K8" s="1322"/>
      <c r="L8" s="1322"/>
      <c r="M8" s="1322"/>
      <c r="N8" s="962"/>
      <c r="O8" s="962"/>
    </row>
    <row r="9" spans="1:20" hidden="1">
      <c r="A9" s="86" t="s">
        <v>4</v>
      </c>
      <c r="B9" s="91" t="s">
        <v>404</v>
      </c>
      <c r="C9" s="91"/>
    </row>
    <row r="10" spans="1:20" ht="7.5" customHeight="1">
      <c r="B10" s="92"/>
      <c r="C10" s="92"/>
    </row>
    <row r="11" spans="1:20">
      <c r="A11" s="93"/>
      <c r="B11" s="94"/>
      <c r="C11" s="2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328" t="s">
        <v>494</v>
      </c>
      <c r="O11" s="1329"/>
    </row>
    <row r="12" spans="1:20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330"/>
      <c r="O12" s="1331"/>
    </row>
    <row r="13" spans="1:20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332"/>
      <c r="O13" s="1333"/>
    </row>
    <row r="14" spans="1:20" ht="12.6" customHeight="1">
      <c r="A14" s="97" t="s">
        <v>281</v>
      </c>
      <c r="B14" s="98"/>
      <c r="C14" s="99"/>
      <c r="D14" s="100"/>
      <c r="E14" s="7"/>
      <c r="F14" s="100"/>
      <c r="G14" s="7"/>
      <c r="H14" s="100"/>
      <c r="I14" s="7"/>
      <c r="J14" s="100"/>
      <c r="K14" s="7"/>
      <c r="L14" s="100"/>
      <c r="M14" s="7"/>
      <c r="N14" s="971"/>
      <c r="O14" s="1035"/>
    </row>
    <row r="15" spans="1:20" ht="12.6" customHeight="1">
      <c r="A15" s="101" t="s">
        <v>262</v>
      </c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  <c r="N15" s="971"/>
      <c r="O15" s="1035"/>
    </row>
    <row r="16" spans="1:20" ht="12.6" customHeight="1">
      <c r="A16" s="101" t="s">
        <v>263</v>
      </c>
      <c r="B16" s="98"/>
      <c r="C16" s="102" t="s">
        <v>114</v>
      </c>
      <c r="D16" s="100" t="s">
        <v>15</v>
      </c>
      <c r="E16" s="221">
        <v>4536199.42</v>
      </c>
      <c r="F16" s="100" t="s">
        <v>15</v>
      </c>
      <c r="G16" s="221">
        <v>2010452.28</v>
      </c>
      <c r="H16" s="100" t="s">
        <v>15</v>
      </c>
      <c r="I16" s="7">
        <f t="shared" ref="I16:I17" si="0">K16-G16</f>
        <v>2852295.7199999997</v>
      </c>
      <c r="J16" s="100" t="s">
        <v>15</v>
      </c>
      <c r="K16" s="221">
        <v>4862748</v>
      </c>
      <c r="L16" s="100" t="s">
        <v>15</v>
      </c>
      <c r="M16" s="221">
        <v>4918320</v>
      </c>
      <c r="N16" s="973" t="s">
        <v>15</v>
      </c>
      <c r="O16" s="1058">
        <v>0</v>
      </c>
    </row>
    <row r="17" spans="1:16" ht="12.6" customHeight="1">
      <c r="A17" s="101" t="s">
        <v>264</v>
      </c>
      <c r="B17" s="98"/>
      <c r="C17" s="102" t="s">
        <v>115</v>
      </c>
      <c r="D17" s="100"/>
      <c r="E17" s="221">
        <v>1594453.52</v>
      </c>
      <c r="F17" s="100"/>
      <c r="G17" s="221">
        <v>902458.98</v>
      </c>
      <c r="H17" s="100"/>
      <c r="I17" s="7">
        <f t="shared" si="0"/>
        <v>1013629.02</v>
      </c>
      <c r="J17" s="100"/>
      <c r="K17" s="221">
        <v>1916088</v>
      </c>
      <c r="L17" s="100"/>
      <c r="M17" s="221">
        <v>2045772</v>
      </c>
      <c r="N17" s="975"/>
      <c r="O17" s="1059">
        <v>0</v>
      </c>
    </row>
    <row r="18" spans="1:16" ht="12.6" customHeight="1">
      <c r="A18" s="101" t="s">
        <v>265</v>
      </c>
      <c r="B18" s="98"/>
      <c r="C18" s="102"/>
      <c r="D18" s="100"/>
      <c r="E18" s="7"/>
      <c r="F18" s="100"/>
      <c r="G18" s="7"/>
      <c r="H18" s="100"/>
      <c r="I18" s="7"/>
      <c r="J18" s="100"/>
      <c r="K18" s="7"/>
      <c r="L18" s="100"/>
      <c r="M18" s="7"/>
      <c r="N18" s="975"/>
      <c r="O18" s="996"/>
      <c r="P18" s="963"/>
    </row>
    <row r="19" spans="1:16" ht="12.6" customHeight="1">
      <c r="A19" s="101" t="s">
        <v>266</v>
      </c>
      <c r="B19" s="98"/>
      <c r="C19" s="102" t="s">
        <v>116</v>
      </c>
      <c r="D19" s="100"/>
      <c r="E19" s="221">
        <v>553819.42000000004</v>
      </c>
      <c r="F19" s="100"/>
      <c r="G19" s="221">
        <v>254994.58</v>
      </c>
      <c r="H19" s="100"/>
      <c r="I19" s="7">
        <f t="shared" ref="I19:I24" si="1">K19-G19</f>
        <v>369005.42000000004</v>
      </c>
      <c r="J19" s="100"/>
      <c r="K19" s="221">
        <v>624000</v>
      </c>
      <c r="L19" s="100"/>
      <c r="M19" s="221">
        <v>624000</v>
      </c>
      <c r="N19" s="975"/>
      <c r="O19" s="1059">
        <v>0</v>
      </c>
    </row>
    <row r="20" spans="1:16" ht="12.6" customHeight="1">
      <c r="A20" s="101" t="s">
        <v>267</v>
      </c>
      <c r="B20" s="98"/>
      <c r="C20" s="102" t="s">
        <v>117</v>
      </c>
      <c r="D20" s="100"/>
      <c r="E20" s="221">
        <v>135000</v>
      </c>
      <c r="F20" s="100"/>
      <c r="G20" s="221">
        <v>67500</v>
      </c>
      <c r="H20" s="100"/>
      <c r="I20" s="7">
        <f t="shared" si="1"/>
        <v>67500</v>
      </c>
      <c r="J20" s="100"/>
      <c r="K20" s="221">
        <v>135000</v>
      </c>
      <c r="L20" s="100"/>
      <c r="M20" s="221">
        <v>135000</v>
      </c>
      <c r="N20" s="975"/>
      <c r="O20" s="1059">
        <v>0</v>
      </c>
    </row>
    <row r="21" spans="1:16" ht="12.6" customHeight="1">
      <c r="A21" s="101" t="s">
        <v>268</v>
      </c>
      <c r="B21" s="106"/>
      <c r="C21" s="102" t="s">
        <v>118</v>
      </c>
      <c r="D21" s="100"/>
      <c r="E21" s="221">
        <v>135000</v>
      </c>
      <c r="F21" s="100"/>
      <c r="G21" s="221">
        <v>67500</v>
      </c>
      <c r="H21" s="100"/>
      <c r="I21" s="7">
        <f t="shared" si="1"/>
        <v>67500</v>
      </c>
      <c r="J21" s="100"/>
      <c r="K21" s="221">
        <v>135000</v>
      </c>
      <c r="L21" s="100"/>
      <c r="M21" s="221">
        <v>135000</v>
      </c>
      <c r="N21" s="975"/>
      <c r="O21" s="1059">
        <v>0</v>
      </c>
    </row>
    <row r="22" spans="1:16" ht="12.6" customHeight="1">
      <c r="A22" s="101" t="s">
        <v>269</v>
      </c>
      <c r="B22" s="106"/>
      <c r="C22" s="102" t="s">
        <v>119</v>
      </c>
      <c r="D22" s="100"/>
      <c r="E22" s="221">
        <v>138000</v>
      </c>
      <c r="F22" s="100"/>
      <c r="G22" s="221">
        <v>132000</v>
      </c>
      <c r="H22" s="100"/>
      <c r="I22" s="7">
        <f t="shared" si="1"/>
        <v>24000</v>
      </c>
      <c r="J22" s="100"/>
      <c r="K22" s="221">
        <v>156000</v>
      </c>
      <c r="L22" s="100"/>
      <c r="M22" s="221">
        <v>156000</v>
      </c>
      <c r="N22" s="975"/>
      <c r="O22" s="1059">
        <v>0</v>
      </c>
    </row>
    <row r="23" spans="1:16" ht="12.6" customHeight="1">
      <c r="A23" s="101" t="s">
        <v>270</v>
      </c>
      <c r="B23" s="106"/>
      <c r="C23" s="102" t="s">
        <v>120</v>
      </c>
      <c r="D23" s="100"/>
      <c r="E23" s="221">
        <v>120000</v>
      </c>
      <c r="F23" s="100"/>
      <c r="G23" s="221">
        <v>0</v>
      </c>
      <c r="H23" s="100"/>
      <c r="I23" s="7">
        <f t="shared" si="1"/>
        <v>130000</v>
      </c>
      <c r="J23" s="100"/>
      <c r="K23" s="221">
        <v>130000</v>
      </c>
      <c r="L23" s="100"/>
      <c r="M23" s="221">
        <v>130000</v>
      </c>
      <c r="N23" s="975"/>
      <c r="O23" s="1059">
        <v>0</v>
      </c>
    </row>
    <row r="24" spans="1:16" ht="12.6" customHeight="1">
      <c r="A24" s="101" t="s">
        <v>271</v>
      </c>
      <c r="B24" s="98"/>
      <c r="C24" s="102" t="s">
        <v>121</v>
      </c>
      <c r="D24" s="100"/>
      <c r="E24" s="221">
        <v>503003.8</v>
      </c>
      <c r="F24" s="100"/>
      <c r="G24" s="221">
        <v>0</v>
      </c>
      <c r="H24" s="100"/>
      <c r="I24" s="7">
        <f t="shared" si="1"/>
        <v>564903</v>
      </c>
      <c r="J24" s="100"/>
      <c r="K24" s="221">
        <v>564903</v>
      </c>
      <c r="L24" s="100"/>
      <c r="M24" s="221">
        <v>580341</v>
      </c>
      <c r="N24" s="975"/>
      <c r="O24" s="1059">
        <v>0</v>
      </c>
    </row>
    <row r="25" spans="1:16" ht="12.6" customHeight="1">
      <c r="A25" s="101" t="s">
        <v>278</v>
      </c>
      <c r="B25" s="108"/>
      <c r="C25" s="102" t="s">
        <v>258</v>
      </c>
      <c r="D25" s="100"/>
      <c r="E25" s="7"/>
      <c r="F25" s="100"/>
      <c r="G25" s="7"/>
      <c r="H25" s="100"/>
      <c r="I25" s="7"/>
      <c r="J25" s="100"/>
      <c r="K25" s="7"/>
      <c r="L25" s="100"/>
      <c r="M25" s="7"/>
      <c r="N25" s="975"/>
      <c r="O25" s="996"/>
      <c r="P25" s="963"/>
    </row>
    <row r="26" spans="1:16" ht="12.6" customHeight="1">
      <c r="A26" s="101" t="s">
        <v>279</v>
      </c>
      <c r="B26" s="108"/>
      <c r="C26" s="102"/>
      <c r="D26" s="100"/>
      <c r="E26" s="221">
        <v>483678.96</v>
      </c>
      <c r="F26" s="100"/>
      <c r="G26" s="221">
        <v>466103.86</v>
      </c>
      <c r="H26" s="100"/>
      <c r="I26" s="7">
        <f t="shared" ref="I26:I36" si="2">K26-G26</f>
        <v>98799.140000000014</v>
      </c>
      <c r="J26" s="100"/>
      <c r="K26" s="221">
        <v>564903</v>
      </c>
      <c r="L26" s="100"/>
      <c r="M26" s="221">
        <v>580341</v>
      </c>
      <c r="N26" s="975"/>
      <c r="O26" s="1059">
        <v>0</v>
      </c>
      <c r="P26" s="963"/>
    </row>
    <row r="27" spans="1:16" ht="12.6" customHeight="1">
      <c r="A27" s="101" t="s">
        <v>280</v>
      </c>
      <c r="B27" s="108"/>
      <c r="C27" s="102"/>
      <c r="D27" s="100"/>
      <c r="E27" s="221">
        <v>0</v>
      </c>
      <c r="F27" s="100"/>
      <c r="G27" s="221">
        <v>60000</v>
      </c>
      <c r="H27" s="100"/>
      <c r="I27" s="7">
        <f t="shared" si="2"/>
        <v>18000</v>
      </c>
      <c r="J27" s="100"/>
      <c r="K27" s="221">
        <v>78000</v>
      </c>
      <c r="L27" s="100"/>
      <c r="M27" s="221">
        <v>0</v>
      </c>
      <c r="N27" s="975"/>
      <c r="O27" s="1059">
        <v>0</v>
      </c>
      <c r="P27" s="963"/>
    </row>
    <row r="28" spans="1:16" ht="12.6" customHeight="1">
      <c r="A28" s="101" t="s">
        <v>272</v>
      </c>
      <c r="B28" s="98"/>
      <c r="C28" s="102" t="s">
        <v>122</v>
      </c>
      <c r="D28" s="100"/>
      <c r="E28" s="221">
        <v>707756.62</v>
      </c>
      <c r="F28" s="100"/>
      <c r="G28" s="221">
        <v>353874.6</v>
      </c>
      <c r="H28" s="100"/>
      <c r="I28" s="7">
        <f t="shared" si="2"/>
        <v>459586.4</v>
      </c>
      <c r="J28" s="100"/>
      <c r="K28" s="221">
        <v>813461</v>
      </c>
      <c r="L28" s="100"/>
      <c r="M28" s="221">
        <v>835692</v>
      </c>
      <c r="N28" s="975"/>
      <c r="O28" s="1059">
        <v>0</v>
      </c>
    </row>
    <row r="29" spans="1:16" ht="12.6" customHeight="1">
      <c r="A29" s="101" t="s">
        <v>273</v>
      </c>
      <c r="B29" s="98"/>
      <c r="C29" s="102" t="s">
        <v>123</v>
      </c>
      <c r="D29" s="100"/>
      <c r="E29" s="221">
        <v>117833.34</v>
      </c>
      <c r="F29" s="100"/>
      <c r="G29" s="221">
        <v>20331.28</v>
      </c>
      <c r="H29" s="100"/>
      <c r="I29" s="7">
        <f t="shared" si="2"/>
        <v>115412.72</v>
      </c>
      <c r="J29" s="100"/>
      <c r="K29" s="221">
        <v>135744</v>
      </c>
      <c r="L29" s="100"/>
      <c r="M29" s="221">
        <v>31200</v>
      </c>
      <c r="N29" s="975"/>
      <c r="O29" s="1059">
        <v>0</v>
      </c>
    </row>
    <row r="30" spans="1:16" ht="12.6" customHeight="1">
      <c r="A30" s="101" t="s">
        <v>274</v>
      </c>
      <c r="B30" s="98"/>
      <c r="C30" s="102" t="s">
        <v>124</v>
      </c>
      <c r="D30" s="100"/>
      <c r="E30" s="221">
        <v>84437.68</v>
      </c>
      <c r="F30" s="100"/>
      <c r="G30" s="221">
        <v>44446.73</v>
      </c>
      <c r="H30" s="100"/>
      <c r="I30" s="7">
        <f t="shared" si="2"/>
        <v>90769.26999999999</v>
      </c>
      <c r="J30" s="100"/>
      <c r="K30" s="221">
        <v>135216</v>
      </c>
      <c r="L30" s="100"/>
      <c r="M30" s="221">
        <v>156876</v>
      </c>
      <c r="N30" s="975"/>
      <c r="O30" s="1059">
        <v>0</v>
      </c>
    </row>
    <row r="31" spans="1:16" ht="12.6" customHeight="1">
      <c r="A31" s="101" t="s">
        <v>275</v>
      </c>
      <c r="B31" s="98"/>
      <c r="C31" s="102" t="s">
        <v>125</v>
      </c>
      <c r="D31" s="100"/>
      <c r="E31" s="221">
        <v>28200</v>
      </c>
      <c r="F31" s="100"/>
      <c r="G31" s="221">
        <v>13100</v>
      </c>
      <c r="H31" s="100"/>
      <c r="I31" s="7">
        <f t="shared" si="2"/>
        <v>18100</v>
      </c>
      <c r="J31" s="100"/>
      <c r="K31" s="221">
        <v>31200</v>
      </c>
      <c r="L31" s="100"/>
      <c r="M31" s="221">
        <v>31200</v>
      </c>
      <c r="N31" s="975"/>
      <c r="O31" s="1059">
        <v>0</v>
      </c>
    </row>
    <row r="32" spans="1:16" ht="12.6" customHeight="1">
      <c r="A32" s="101" t="s">
        <v>276</v>
      </c>
      <c r="B32" s="108"/>
      <c r="C32" s="102" t="s">
        <v>161</v>
      </c>
      <c r="D32" s="100"/>
      <c r="E32" s="7"/>
      <c r="F32" s="100"/>
      <c r="G32" s="7"/>
      <c r="H32" s="100"/>
      <c r="I32" s="7">
        <f t="shared" si="2"/>
        <v>0</v>
      </c>
      <c r="J32" s="100"/>
      <c r="K32" s="7"/>
      <c r="L32" s="100"/>
      <c r="M32" s="7"/>
      <c r="N32" s="975"/>
      <c r="O32" s="996"/>
      <c r="P32" s="963"/>
    </row>
    <row r="33" spans="1:19" ht="12.6" customHeight="1">
      <c r="A33" s="101" t="s">
        <v>292</v>
      </c>
      <c r="B33" s="108"/>
      <c r="C33" s="102"/>
      <c r="D33" s="100"/>
      <c r="E33" s="7">
        <v>0</v>
      </c>
      <c r="F33" s="100"/>
      <c r="G33" s="7"/>
      <c r="H33" s="100"/>
      <c r="I33" s="7">
        <f t="shared" si="2"/>
        <v>0</v>
      </c>
      <c r="J33" s="100"/>
      <c r="K33" s="7">
        <v>0</v>
      </c>
      <c r="L33" s="100"/>
      <c r="M33" s="7">
        <v>343919</v>
      </c>
      <c r="N33" s="975"/>
      <c r="O33" s="996">
        <v>0</v>
      </c>
    </row>
    <row r="34" spans="1:19" ht="12.6" customHeight="1">
      <c r="A34" s="101" t="s">
        <v>260</v>
      </c>
      <c r="B34" s="108"/>
      <c r="C34" s="102"/>
      <c r="D34" s="100"/>
      <c r="E34" s="7">
        <v>120000</v>
      </c>
      <c r="F34" s="100"/>
      <c r="G34" s="7">
        <v>0</v>
      </c>
      <c r="H34" s="100"/>
      <c r="I34" s="7">
        <f t="shared" ref="I34" si="3">K34-G34</f>
        <v>130000</v>
      </c>
      <c r="J34" s="100"/>
      <c r="K34" s="7">
        <v>130000</v>
      </c>
      <c r="L34" s="100"/>
      <c r="M34" s="7">
        <v>130000</v>
      </c>
      <c r="N34" s="975"/>
      <c r="O34" s="996">
        <v>0</v>
      </c>
      <c r="P34" s="963"/>
    </row>
    <row r="35" spans="1:19" ht="12.6" customHeight="1">
      <c r="A35" s="101" t="s">
        <v>764</v>
      </c>
      <c r="B35" s="108"/>
      <c r="C35" s="102"/>
      <c r="D35" s="100"/>
      <c r="E35" s="7">
        <v>0</v>
      </c>
      <c r="F35" s="100"/>
      <c r="G35" s="7">
        <v>0</v>
      </c>
      <c r="H35" s="100"/>
      <c r="I35" s="7">
        <f t="shared" si="2"/>
        <v>299467</v>
      </c>
      <c r="J35" s="100"/>
      <c r="K35" s="7">
        <v>299467</v>
      </c>
      <c r="L35" s="100"/>
      <c r="M35" s="7">
        <v>0</v>
      </c>
      <c r="N35" s="975"/>
      <c r="O35" s="996">
        <v>0</v>
      </c>
      <c r="P35" s="963"/>
    </row>
    <row r="36" spans="1:19" ht="12.6" customHeight="1">
      <c r="A36" s="101" t="s">
        <v>259</v>
      </c>
      <c r="B36" s="108"/>
      <c r="C36" s="102"/>
      <c r="D36" s="100"/>
      <c r="E36" s="221">
        <v>0</v>
      </c>
      <c r="F36" s="100"/>
      <c r="G36" s="221">
        <v>10000</v>
      </c>
      <c r="H36" s="100"/>
      <c r="I36" s="7">
        <f t="shared" si="2"/>
        <v>10000</v>
      </c>
      <c r="J36" s="100"/>
      <c r="K36" s="222">
        <v>20000</v>
      </c>
      <c r="L36" s="104"/>
      <c r="M36" s="222">
        <v>5000</v>
      </c>
      <c r="N36" s="975"/>
      <c r="O36" s="1059">
        <v>0</v>
      </c>
      <c r="P36" s="963"/>
    </row>
    <row r="37" spans="1:19" ht="12.6" customHeight="1">
      <c r="A37" s="1325" t="s">
        <v>14</v>
      </c>
      <c r="B37" s="1326"/>
      <c r="C37" s="102"/>
      <c r="D37" s="109" t="s">
        <v>15</v>
      </c>
      <c r="E37" s="110">
        <f>SUM(E16:E36)</f>
        <v>9257382.7599999979</v>
      </c>
      <c r="F37" s="109" t="s">
        <v>15</v>
      </c>
      <c r="G37" s="110">
        <f>SUM(G16:G36)</f>
        <v>4402762.3100000005</v>
      </c>
      <c r="H37" s="109" t="s">
        <v>15</v>
      </c>
      <c r="I37" s="110">
        <f>SUM(I16:I36)</f>
        <v>6328967.6899999995</v>
      </c>
      <c r="J37" s="109" t="s">
        <v>15</v>
      </c>
      <c r="K37" s="110">
        <f>SUM(K16:K36)</f>
        <v>10731730</v>
      </c>
      <c r="L37" s="109" t="s">
        <v>15</v>
      </c>
      <c r="M37" s="110">
        <f>SUM(M16:M36)</f>
        <v>10838661</v>
      </c>
      <c r="N37" s="977" t="s">
        <v>15</v>
      </c>
      <c r="O37" s="1033">
        <f>SUM(O16:O36)</f>
        <v>0</v>
      </c>
    </row>
    <row r="38" spans="1:19" ht="12" customHeight="1">
      <c r="A38" s="97" t="s">
        <v>282</v>
      </c>
      <c r="B38" s="98"/>
      <c r="C38" s="102"/>
      <c r="D38" s="100"/>
      <c r="E38" s="7"/>
      <c r="F38" s="100"/>
      <c r="G38" s="7"/>
      <c r="H38" s="100"/>
      <c r="I38" s="7"/>
      <c r="J38" s="100"/>
      <c r="K38" s="7"/>
      <c r="L38" s="100"/>
      <c r="M38" s="7"/>
      <c r="N38" s="971"/>
      <c r="O38" s="1035"/>
    </row>
    <row r="39" spans="1:19" ht="12.6" customHeight="1">
      <c r="A39" s="101" t="s">
        <v>41</v>
      </c>
      <c r="B39" s="98"/>
      <c r="C39" s="102" t="s">
        <v>126</v>
      </c>
      <c r="D39" s="100" t="s">
        <v>15</v>
      </c>
      <c r="E39" s="221">
        <v>185655</v>
      </c>
      <c r="F39" s="100" t="s">
        <v>15</v>
      </c>
      <c r="G39" s="221">
        <v>202997.99</v>
      </c>
      <c r="H39" s="100" t="s">
        <v>15</v>
      </c>
      <c r="I39" s="7">
        <f>K39-G39</f>
        <v>497002.01</v>
      </c>
      <c r="J39" s="100" t="s">
        <v>15</v>
      </c>
      <c r="K39" s="221">
        <v>700000</v>
      </c>
      <c r="L39" s="100" t="s">
        <v>15</v>
      </c>
      <c r="M39" s="221">
        <v>600000</v>
      </c>
      <c r="N39" s="973" t="s">
        <v>15</v>
      </c>
      <c r="O39" s="1058">
        <f>M39-K39</f>
        <v>-100000</v>
      </c>
      <c r="P39" s="963">
        <f>M39-K39</f>
        <v>-100000</v>
      </c>
      <c r="Q39" s="963">
        <f>K39*0.1</f>
        <v>70000</v>
      </c>
      <c r="R39" s="963">
        <f>K39+Q39</f>
        <v>770000</v>
      </c>
    </row>
    <row r="40" spans="1:19" ht="12.6" customHeight="1">
      <c r="A40" s="101" t="s">
        <v>42</v>
      </c>
      <c r="B40" s="98"/>
      <c r="C40" s="102" t="s">
        <v>127</v>
      </c>
      <c r="D40" s="100"/>
      <c r="E40" s="221">
        <v>73100</v>
      </c>
      <c r="F40" s="100"/>
      <c r="G40" s="221">
        <v>138893.28</v>
      </c>
      <c r="H40" s="100"/>
      <c r="I40" s="7">
        <f t="shared" ref="I40:I61" si="4">K40-G40</f>
        <v>211106.72</v>
      </c>
      <c r="J40" s="111"/>
      <c r="K40" s="221">
        <v>350000</v>
      </c>
      <c r="L40" s="100"/>
      <c r="M40" s="221">
        <v>350000</v>
      </c>
      <c r="N40" s="975"/>
      <c r="O40" s="1058">
        <f t="shared" ref="O40:O58" si="5">M40-K40</f>
        <v>0</v>
      </c>
      <c r="P40" s="963">
        <f t="shared" ref="P40:P61" si="6">M40-K40</f>
        <v>0</v>
      </c>
      <c r="Q40" s="963">
        <f t="shared" ref="Q40:Q61" si="7">K40*0.1</f>
        <v>35000</v>
      </c>
      <c r="R40" s="963">
        <f t="shared" ref="R40:R61" si="8">K40+Q40</f>
        <v>385000</v>
      </c>
      <c r="S40" s="961" t="s">
        <v>485</v>
      </c>
    </row>
    <row r="41" spans="1:19" ht="12.6" customHeight="1">
      <c r="A41" s="101" t="s">
        <v>28</v>
      </c>
      <c r="B41" s="98"/>
      <c r="C41" s="102" t="s">
        <v>128</v>
      </c>
      <c r="D41" s="111"/>
      <c r="E41" s="221">
        <v>131250</v>
      </c>
      <c r="F41" s="111"/>
      <c r="G41" s="221">
        <v>900</v>
      </c>
      <c r="H41" s="111"/>
      <c r="I41" s="7">
        <f t="shared" si="4"/>
        <v>249100</v>
      </c>
      <c r="J41" s="111"/>
      <c r="K41" s="221">
        <v>250000</v>
      </c>
      <c r="L41" s="100"/>
      <c r="M41" s="221">
        <v>100000</v>
      </c>
      <c r="N41" s="975"/>
      <c r="O41" s="1058">
        <f t="shared" si="5"/>
        <v>-150000</v>
      </c>
      <c r="P41" s="963">
        <f t="shared" si="6"/>
        <v>-150000</v>
      </c>
      <c r="Q41" s="963">
        <f t="shared" si="7"/>
        <v>25000</v>
      </c>
      <c r="R41" s="963">
        <f t="shared" si="8"/>
        <v>275000</v>
      </c>
    </row>
    <row r="42" spans="1:19" ht="12.6" customHeight="1">
      <c r="A42" s="101" t="s">
        <v>47</v>
      </c>
      <c r="B42" s="98"/>
      <c r="C42" s="102" t="s">
        <v>165</v>
      </c>
      <c r="D42" s="111"/>
      <c r="E42" s="221">
        <v>209299.7</v>
      </c>
      <c r="F42" s="111"/>
      <c r="G42" s="221">
        <v>85140</v>
      </c>
      <c r="H42" s="111"/>
      <c r="I42" s="7">
        <f>K42-G42</f>
        <v>264860</v>
      </c>
      <c r="J42" s="111"/>
      <c r="K42" s="221">
        <v>350000</v>
      </c>
      <c r="L42" s="100"/>
      <c r="M42" s="221">
        <v>350000</v>
      </c>
      <c r="N42" s="975"/>
      <c r="O42" s="1058">
        <f t="shared" si="5"/>
        <v>0</v>
      </c>
      <c r="P42" s="963">
        <f t="shared" si="6"/>
        <v>0</v>
      </c>
      <c r="Q42" s="963">
        <f t="shared" si="7"/>
        <v>35000</v>
      </c>
      <c r="R42" s="963">
        <f t="shared" si="8"/>
        <v>385000</v>
      </c>
    </row>
    <row r="43" spans="1:19" ht="12.6" customHeight="1">
      <c r="A43" s="101" t="s">
        <v>130</v>
      </c>
      <c r="B43" s="98"/>
      <c r="C43" s="102" t="s">
        <v>129</v>
      </c>
      <c r="D43" s="100"/>
      <c r="E43" s="221">
        <v>171772.86</v>
      </c>
      <c r="F43" s="100"/>
      <c r="G43" s="221">
        <v>55007.96</v>
      </c>
      <c r="H43" s="100"/>
      <c r="I43" s="7">
        <f t="shared" si="4"/>
        <v>244992.04</v>
      </c>
      <c r="J43" s="100"/>
      <c r="K43" s="221">
        <v>300000</v>
      </c>
      <c r="L43" s="100"/>
      <c r="M43" s="221">
        <v>300000</v>
      </c>
      <c r="N43" s="975"/>
      <c r="O43" s="1058">
        <f t="shared" si="5"/>
        <v>0</v>
      </c>
      <c r="P43" s="963">
        <f t="shared" si="6"/>
        <v>0</v>
      </c>
      <c r="Q43" s="963">
        <f t="shared" si="7"/>
        <v>30000</v>
      </c>
      <c r="R43" s="963">
        <f t="shared" si="8"/>
        <v>330000</v>
      </c>
    </row>
    <row r="44" spans="1:19" ht="12" customHeight="1">
      <c r="A44" s="101" t="s">
        <v>497</v>
      </c>
      <c r="B44" s="98"/>
      <c r="C44" s="102" t="s">
        <v>174</v>
      </c>
      <c r="D44" s="111"/>
      <c r="E44" s="221">
        <v>186147.09</v>
      </c>
      <c r="F44" s="111"/>
      <c r="G44" s="221">
        <v>34453.56</v>
      </c>
      <c r="H44" s="111"/>
      <c r="I44" s="7">
        <f t="shared" si="4"/>
        <v>288546.44</v>
      </c>
      <c r="J44" s="111"/>
      <c r="K44" s="221">
        <v>323000</v>
      </c>
      <c r="L44" s="100"/>
      <c r="M44" s="221">
        <v>173000</v>
      </c>
      <c r="N44" s="975"/>
      <c r="O44" s="1058">
        <f t="shared" si="5"/>
        <v>-150000</v>
      </c>
      <c r="P44" s="963">
        <f t="shared" si="6"/>
        <v>-150000</v>
      </c>
      <c r="Q44" s="963">
        <f>M44*0.1</f>
        <v>17300</v>
      </c>
    </row>
    <row r="45" spans="1:19" ht="12.6" customHeight="1">
      <c r="A45" s="101" t="s">
        <v>132</v>
      </c>
      <c r="B45" s="98"/>
      <c r="C45" s="102" t="s">
        <v>131</v>
      </c>
      <c r="D45" s="100"/>
      <c r="E45" s="221">
        <v>1400</v>
      </c>
      <c r="F45" s="100"/>
      <c r="G45" s="221">
        <v>700</v>
      </c>
      <c r="H45" s="100"/>
      <c r="I45" s="7">
        <f t="shared" si="4"/>
        <v>1300</v>
      </c>
      <c r="J45" s="100"/>
      <c r="K45" s="221">
        <v>2000</v>
      </c>
      <c r="L45" s="100"/>
      <c r="M45" s="221">
        <v>2000</v>
      </c>
      <c r="N45" s="975"/>
      <c r="O45" s="1058">
        <f t="shared" si="5"/>
        <v>0</v>
      </c>
      <c r="P45" s="963">
        <f t="shared" si="6"/>
        <v>0</v>
      </c>
      <c r="Q45" s="963">
        <f t="shared" si="7"/>
        <v>200</v>
      </c>
      <c r="R45" s="963">
        <f t="shared" si="8"/>
        <v>2200</v>
      </c>
    </row>
    <row r="46" spans="1:19" ht="12" customHeight="1">
      <c r="A46" s="101" t="s">
        <v>138</v>
      </c>
      <c r="B46" s="98"/>
      <c r="C46" s="102" t="s">
        <v>137</v>
      </c>
      <c r="D46" s="100"/>
      <c r="E46" s="221">
        <v>4950</v>
      </c>
      <c r="F46" s="111"/>
      <c r="G46" s="221">
        <v>0</v>
      </c>
      <c r="H46" s="111"/>
      <c r="I46" s="7">
        <f t="shared" si="4"/>
        <v>8250</v>
      </c>
      <c r="J46" s="111"/>
      <c r="K46" s="221">
        <v>8250</v>
      </c>
      <c r="L46" s="100"/>
      <c r="M46" s="221">
        <v>8250</v>
      </c>
      <c r="N46" s="975"/>
      <c r="O46" s="1058">
        <f t="shared" si="5"/>
        <v>0</v>
      </c>
      <c r="P46" s="963">
        <f t="shared" si="6"/>
        <v>0</v>
      </c>
      <c r="Q46" s="963">
        <f>M46*0.1</f>
        <v>825</v>
      </c>
    </row>
    <row r="47" spans="1:19" ht="12.6" customHeight="1">
      <c r="A47" s="101" t="s">
        <v>163</v>
      </c>
      <c r="B47" s="98"/>
      <c r="C47" s="102" t="s">
        <v>133</v>
      </c>
      <c r="D47" s="100"/>
      <c r="E47" s="221">
        <v>25390</v>
      </c>
      <c r="F47" s="100"/>
      <c r="G47" s="221">
        <v>15000</v>
      </c>
      <c r="H47" s="100"/>
      <c r="I47" s="7">
        <f t="shared" si="4"/>
        <v>25000</v>
      </c>
      <c r="J47" s="100"/>
      <c r="K47" s="221">
        <v>40000</v>
      </c>
      <c r="L47" s="100"/>
      <c r="M47" s="221">
        <v>40000</v>
      </c>
      <c r="N47" s="975"/>
      <c r="O47" s="1058">
        <f t="shared" si="5"/>
        <v>0</v>
      </c>
      <c r="P47" s="963">
        <f t="shared" si="6"/>
        <v>0</v>
      </c>
      <c r="Q47" s="963">
        <f t="shared" si="7"/>
        <v>4000</v>
      </c>
      <c r="R47" s="963">
        <f t="shared" si="8"/>
        <v>44000</v>
      </c>
    </row>
    <row r="48" spans="1:19" ht="12.6" customHeight="1">
      <c r="A48" s="101" t="s">
        <v>135</v>
      </c>
      <c r="B48" s="98"/>
      <c r="C48" s="102" t="s">
        <v>134</v>
      </c>
      <c r="D48" s="100"/>
      <c r="E48" s="221">
        <v>34889</v>
      </c>
      <c r="F48" s="100"/>
      <c r="G48" s="221">
        <v>12491.01</v>
      </c>
      <c r="H48" s="100"/>
      <c r="I48" s="7">
        <f t="shared" si="4"/>
        <v>23508.989999999998</v>
      </c>
      <c r="J48" s="100"/>
      <c r="K48" s="221">
        <v>36000</v>
      </c>
      <c r="L48" s="100"/>
      <c r="M48" s="221">
        <v>36000</v>
      </c>
      <c r="N48" s="975"/>
      <c r="O48" s="1058">
        <f t="shared" si="5"/>
        <v>0</v>
      </c>
      <c r="P48" s="963">
        <f t="shared" si="6"/>
        <v>0</v>
      </c>
      <c r="Q48" s="963">
        <f t="shared" si="7"/>
        <v>3600</v>
      </c>
      <c r="R48" s="963">
        <f t="shared" si="8"/>
        <v>39600</v>
      </c>
    </row>
    <row r="49" spans="1:22" ht="12.6" customHeight="1">
      <c r="A49" s="101" t="s">
        <v>43</v>
      </c>
      <c r="B49" s="98"/>
      <c r="C49" s="102" t="s">
        <v>136</v>
      </c>
      <c r="D49" s="100"/>
      <c r="E49" s="221">
        <v>0</v>
      </c>
      <c r="F49" s="100"/>
      <c r="G49" s="221">
        <v>0</v>
      </c>
      <c r="H49" s="100"/>
      <c r="I49" s="7">
        <f t="shared" si="4"/>
        <v>0</v>
      </c>
      <c r="J49" s="100"/>
      <c r="K49" s="221">
        <v>0</v>
      </c>
      <c r="L49" s="100"/>
      <c r="M49" s="221">
        <v>0</v>
      </c>
      <c r="N49" s="975"/>
      <c r="O49" s="1058">
        <f t="shared" si="5"/>
        <v>0</v>
      </c>
      <c r="P49" s="963">
        <f t="shared" si="6"/>
        <v>0</v>
      </c>
      <c r="Q49" s="963">
        <f t="shared" si="7"/>
        <v>0</v>
      </c>
      <c r="R49" s="963">
        <f t="shared" si="8"/>
        <v>0</v>
      </c>
    </row>
    <row r="50" spans="1:22" ht="12.6" customHeight="1">
      <c r="A50" s="101" t="s">
        <v>142</v>
      </c>
      <c r="B50" s="98"/>
      <c r="C50" s="118" t="s">
        <v>141</v>
      </c>
      <c r="D50" s="100"/>
      <c r="E50" s="221">
        <v>10500</v>
      </c>
      <c r="F50" s="100"/>
      <c r="G50" s="221">
        <v>7000</v>
      </c>
      <c r="H50" s="100"/>
      <c r="I50" s="7">
        <f t="shared" si="4"/>
        <v>13000</v>
      </c>
      <c r="J50" s="100"/>
      <c r="K50" s="221">
        <v>20000</v>
      </c>
      <c r="L50" s="100"/>
      <c r="M50" s="221">
        <v>20000</v>
      </c>
      <c r="N50" s="975"/>
      <c r="O50" s="1058">
        <f t="shared" si="5"/>
        <v>0</v>
      </c>
      <c r="P50" s="963">
        <f t="shared" si="6"/>
        <v>0</v>
      </c>
      <c r="Q50" s="963">
        <f t="shared" si="7"/>
        <v>2000</v>
      </c>
      <c r="R50" s="963">
        <f t="shared" si="8"/>
        <v>22000</v>
      </c>
    </row>
    <row r="51" spans="1:22" ht="12.6" customHeight="1">
      <c r="A51" s="101" t="s">
        <v>145</v>
      </c>
      <c r="B51" s="98"/>
      <c r="C51" s="102" t="s">
        <v>144</v>
      </c>
      <c r="D51" s="100"/>
      <c r="E51" s="221">
        <v>25816.76</v>
      </c>
      <c r="F51" s="100"/>
      <c r="G51" s="221">
        <v>6716.02</v>
      </c>
      <c r="H51" s="100"/>
      <c r="I51" s="7">
        <f t="shared" si="4"/>
        <v>93283.98</v>
      </c>
      <c r="J51" s="100"/>
      <c r="K51" s="221">
        <v>100000</v>
      </c>
      <c r="L51" s="100"/>
      <c r="M51" s="221">
        <v>100000</v>
      </c>
      <c r="N51" s="975"/>
      <c r="O51" s="1058">
        <f t="shared" si="5"/>
        <v>0</v>
      </c>
      <c r="P51" s="963">
        <f t="shared" si="6"/>
        <v>0</v>
      </c>
      <c r="Q51" s="963">
        <f t="shared" si="7"/>
        <v>10000</v>
      </c>
      <c r="R51" s="963">
        <f t="shared" si="8"/>
        <v>110000</v>
      </c>
    </row>
    <row r="52" spans="1:22" ht="12.6" customHeight="1">
      <c r="A52" s="101" t="s">
        <v>36</v>
      </c>
      <c r="B52" s="98"/>
      <c r="C52" s="102" t="s">
        <v>169</v>
      </c>
      <c r="D52" s="100"/>
      <c r="E52" s="221">
        <v>105425</v>
      </c>
      <c r="F52" s="100"/>
      <c r="G52" s="221">
        <v>1800</v>
      </c>
      <c r="H52" s="100"/>
      <c r="I52" s="7">
        <f t="shared" si="4"/>
        <v>148200</v>
      </c>
      <c r="J52" s="100"/>
      <c r="K52" s="221">
        <v>150000</v>
      </c>
      <c r="L52" s="100"/>
      <c r="M52" s="221">
        <v>150000</v>
      </c>
      <c r="N52" s="975"/>
      <c r="O52" s="1058">
        <f t="shared" si="5"/>
        <v>0</v>
      </c>
      <c r="P52" s="963">
        <f t="shared" si="6"/>
        <v>0</v>
      </c>
      <c r="Q52" s="963">
        <f t="shared" si="7"/>
        <v>15000</v>
      </c>
      <c r="R52" s="963">
        <f t="shared" si="8"/>
        <v>165000</v>
      </c>
    </row>
    <row r="53" spans="1:22" s="8" customFormat="1" ht="11.25" customHeight="1">
      <c r="A53" s="101" t="s">
        <v>353</v>
      </c>
      <c r="B53" s="413"/>
      <c r="C53" s="102" t="s">
        <v>354</v>
      </c>
      <c r="D53" s="100"/>
      <c r="E53" s="221">
        <v>10000</v>
      </c>
      <c r="F53" s="100"/>
      <c r="G53" s="221">
        <v>10000</v>
      </c>
      <c r="H53" s="100"/>
      <c r="I53" s="7">
        <f t="shared" si="4"/>
        <v>0</v>
      </c>
      <c r="J53" s="100"/>
      <c r="K53" s="221">
        <v>10000</v>
      </c>
      <c r="L53" s="100"/>
      <c r="M53" s="221">
        <v>10000</v>
      </c>
      <c r="N53" s="975"/>
      <c r="O53" s="1058">
        <f t="shared" si="5"/>
        <v>0</v>
      </c>
      <c r="P53" s="922">
        <f t="shared" si="6"/>
        <v>0</v>
      </c>
      <c r="Q53" s="922"/>
      <c r="R53" s="922"/>
      <c r="S53" s="922"/>
      <c r="T53" s="922"/>
      <c r="U53" s="922"/>
      <c r="V53" s="922"/>
    </row>
    <row r="54" spans="1:22" ht="12.6" customHeight="1">
      <c r="A54" s="101" t="s">
        <v>33</v>
      </c>
      <c r="B54" s="119"/>
      <c r="C54" s="102" t="s">
        <v>148</v>
      </c>
      <c r="D54" s="100"/>
      <c r="E54" s="157"/>
      <c r="F54" s="100"/>
      <c r="G54" s="157"/>
      <c r="H54" s="100"/>
      <c r="I54" s="7">
        <f t="shared" si="4"/>
        <v>0</v>
      </c>
      <c r="J54" s="100"/>
      <c r="K54" s="7">
        <v>0</v>
      </c>
      <c r="L54" s="100"/>
      <c r="M54" s="7">
        <v>0</v>
      </c>
      <c r="N54" s="975"/>
      <c r="O54" s="1058">
        <f t="shared" si="5"/>
        <v>0</v>
      </c>
      <c r="P54" s="963">
        <f t="shared" si="6"/>
        <v>0</v>
      </c>
      <c r="Q54" s="963">
        <f t="shared" si="7"/>
        <v>0</v>
      </c>
      <c r="R54" s="963">
        <f t="shared" si="8"/>
        <v>0</v>
      </c>
    </row>
    <row r="55" spans="1:22" ht="12.6" customHeight="1">
      <c r="A55" s="101"/>
      <c r="B55" s="7" t="s">
        <v>342</v>
      </c>
      <c r="C55" s="102"/>
      <c r="D55" s="100"/>
      <c r="E55" s="221">
        <v>854530.23</v>
      </c>
      <c r="F55" s="100"/>
      <c r="G55" s="221">
        <v>514000</v>
      </c>
      <c r="H55" s="100"/>
      <c r="I55" s="7">
        <f t="shared" si="4"/>
        <v>514000</v>
      </c>
      <c r="J55" s="100"/>
      <c r="K55" s="221">
        <v>1028000</v>
      </c>
      <c r="L55" s="100"/>
      <c r="M55" s="221">
        <v>1009000</v>
      </c>
      <c r="N55" s="975"/>
      <c r="O55" s="1058">
        <f t="shared" si="5"/>
        <v>-19000</v>
      </c>
      <c r="P55" s="963">
        <f t="shared" si="6"/>
        <v>-19000</v>
      </c>
      <c r="Q55" s="963">
        <f t="shared" si="7"/>
        <v>102800</v>
      </c>
      <c r="R55" s="963">
        <f t="shared" si="8"/>
        <v>1130800</v>
      </c>
    </row>
    <row r="56" spans="1:22" ht="12.6" customHeight="1">
      <c r="A56" s="101"/>
      <c r="B56" s="7" t="s">
        <v>1117</v>
      </c>
      <c r="C56" s="102"/>
      <c r="D56" s="100"/>
      <c r="E56" s="221">
        <v>20000</v>
      </c>
      <c r="F56" s="100"/>
      <c r="G56" s="221">
        <v>0</v>
      </c>
      <c r="H56" s="100"/>
      <c r="I56" s="7">
        <f t="shared" ref="I56" si="9">K56-G56</f>
        <v>0</v>
      </c>
      <c r="J56" s="100"/>
      <c r="K56" s="221">
        <v>0</v>
      </c>
      <c r="L56" s="100"/>
      <c r="M56" s="221">
        <v>0</v>
      </c>
      <c r="N56" s="975"/>
      <c r="O56" s="1058">
        <f t="shared" ref="O56" si="10">M56-K56</f>
        <v>0</v>
      </c>
      <c r="P56" s="963">
        <f t="shared" ref="P56" si="11">M56-K56</f>
        <v>0</v>
      </c>
      <c r="Q56" s="963">
        <f t="shared" ref="Q56" si="12">K56*0.1</f>
        <v>0</v>
      </c>
      <c r="R56" s="963">
        <f t="shared" ref="R56" si="13">K56+Q56</f>
        <v>0</v>
      </c>
    </row>
    <row r="57" spans="1:22" ht="12.6" customHeight="1">
      <c r="A57" s="101"/>
      <c r="B57" s="7" t="s">
        <v>78</v>
      </c>
      <c r="C57" s="102"/>
      <c r="D57" s="100"/>
      <c r="E57" s="221">
        <v>71650</v>
      </c>
      <c r="F57" s="100"/>
      <c r="G57" s="221">
        <v>64700</v>
      </c>
      <c r="H57" s="100"/>
      <c r="I57" s="7">
        <f t="shared" si="4"/>
        <v>116300</v>
      </c>
      <c r="J57" s="100"/>
      <c r="K57" s="221">
        <v>181000</v>
      </c>
      <c r="L57" s="100"/>
      <c r="M57" s="221">
        <v>181000</v>
      </c>
      <c r="N57" s="975"/>
      <c r="O57" s="1058">
        <f t="shared" si="5"/>
        <v>0</v>
      </c>
      <c r="P57" s="963">
        <f t="shared" si="6"/>
        <v>0</v>
      </c>
      <c r="Q57" s="963">
        <f t="shared" si="7"/>
        <v>18100</v>
      </c>
      <c r="R57" s="963">
        <f t="shared" si="8"/>
        <v>199100</v>
      </c>
    </row>
    <row r="58" spans="1:22" ht="12.6" customHeight="1">
      <c r="A58" s="101"/>
      <c r="B58" s="7" t="s">
        <v>691</v>
      </c>
      <c r="C58" s="102"/>
      <c r="D58" s="100"/>
      <c r="E58" s="221">
        <v>0</v>
      </c>
      <c r="F58" s="100"/>
      <c r="G58" s="221">
        <v>50000</v>
      </c>
      <c r="H58" s="100"/>
      <c r="I58" s="7">
        <f t="shared" si="4"/>
        <v>80000</v>
      </c>
      <c r="J58" s="100"/>
      <c r="K58" s="221">
        <v>130000</v>
      </c>
      <c r="L58" s="100"/>
      <c r="M58" s="221">
        <v>130000</v>
      </c>
      <c r="N58" s="975"/>
      <c r="O58" s="1058">
        <f t="shared" si="5"/>
        <v>0</v>
      </c>
      <c r="P58" s="963">
        <f t="shared" si="6"/>
        <v>0</v>
      </c>
      <c r="Q58" s="963">
        <f t="shared" si="7"/>
        <v>13000</v>
      </c>
      <c r="R58" s="963">
        <f t="shared" si="8"/>
        <v>143000</v>
      </c>
    </row>
    <row r="59" spans="1:22" ht="12.6" customHeight="1">
      <c r="A59" s="101"/>
      <c r="B59" s="7" t="s">
        <v>486</v>
      </c>
      <c r="C59" s="102"/>
      <c r="D59" s="100"/>
      <c r="E59" s="157"/>
      <c r="F59" s="100"/>
      <c r="G59" s="157"/>
      <c r="H59" s="100"/>
      <c r="I59" s="7"/>
      <c r="J59" s="100"/>
      <c r="K59" s="7"/>
      <c r="L59" s="100"/>
      <c r="M59" s="7"/>
      <c r="N59" s="975"/>
      <c r="O59" s="996"/>
      <c r="P59" s="963">
        <f t="shared" si="6"/>
        <v>0</v>
      </c>
      <c r="Q59" s="963">
        <f t="shared" si="7"/>
        <v>0</v>
      </c>
      <c r="R59" s="963">
        <f t="shared" si="8"/>
        <v>0</v>
      </c>
    </row>
    <row r="60" spans="1:22" ht="12.6" customHeight="1">
      <c r="A60" s="101"/>
      <c r="B60" s="7" t="s">
        <v>692</v>
      </c>
      <c r="C60" s="102"/>
      <c r="D60" s="100"/>
      <c r="E60" s="221">
        <v>75000</v>
      </c>
      <c r="F60" s="100"/>
      <c r="G60" s="221">
        <v>0</v>
      </c>
      <c r="H60" s="100"/>
      <c r="I60" s="7">
        <f t="shared" si="4"/>
        <v>100000</v>
      </c>
      <c r="J60" s="100"/>
      <c r="K60" s="221">
        <v>100000</v>
      </c>
      <c r="L60" s="100"/>
      <c r="M60" s="221">
        <v>100000</v>
      </c>
      <c r="N60" s="975"/>
      <c r="O60" s="1058">
        <f t="shared" ref="O60" si="14">M60-K60</f>
        <v>0</v>
      </c>
      <c r="P60" s="963">
        <f t="shared" si="6"/>
        <v>0</v>
      </c>
      <c r="Q60" s="963">
        <f t="shared" si="7"/>
        <v>10000</v>
      </c>
      <c r="R60" s="963">
        <f t="shared" si="8"/>
        <v>110000</v>
      </c>
    </row>
    <row r="61" spans="1:22" ht="12.6" customHeight="1">
      <c r="A61" s="101"/>
      <c r="B61" s="7" t="s">
        <v>887</v>
      </c>
      <c r="C61" s="102"/>
      <c r="D61" s="100"/>
      <c r="E61" s="221">
        <v>0</v>
      </c>
      <c r="F61" s="100"/>
      <c r="G61" s="221">
        <v>0</v>
      </c>
      <c r="H61" s="111"/>
      <c r="I61" s="7">
        <f t="shared" si="4"/>
        <v>150000</v>
      </c>
      <c r="J61" s="111"/>
      <c r="K61" s="221">
        <v>150000</v>
      </c>
      <c r="L61" s="100"/>
      <c r="M61" s="221">
        <v>200000</v>
      </c>
      <c r="N61" s="975"/>
      <c r="O61" s="1058">
        <f t="shared" ref="O61" si="15">M61-K61</f>
        <v>50000</v>
      </c>
      <c r="P61" s="963">
        <f t="shared" si="6"/>
        <v>50000</v>
      </c>
      <c r="Q61" s="963">
        <f t="shared" si="7"/>
        <v>15000</v>
      </c>
      <c r="R61" s="963">
        <f t="shared" si="8"/>
        <v>165000</v>
      </c>
    </row>
    <row r="62" spans="1:22" ht="12.6" customHeight="1">
      <c r="A62" s="101" t="s">
        <v>1196</v>
      </c>
      <c r="B62" s="98"/>
      <c r="C62" s="102"/>
      <c r="D62" s="100"/>
      <c r="E62" s="221">
        <v>0</v>
      </c>
      <c r="F62" s="100"/>
      <c r="G62" s="221">
        <v>879317.41</v>
      </c>
      <c r="H62" s="100"/>
      <c r="I62" s="7">
        <f>K62-G62</f>
        <v>120682.58999999997</v>
      </c>
      <c r="J62" s="100"/>
      <c r="K62" s="221">
        <v>1000000</v>
      </c>
      <c r="L62" s="100"/>
      <c r="M62" s="221">
        <v>0</v>
      </c>
      <c r="N62" s="975"/>
      <c r="O62" s="1058">
        <f>M62-K62</f>
        <v>-1000000</v>
      </c>
      <c r="P62" s="963">
        <f>M62-K62</f>
        <v>-1000000</v>
      </c>
      <c r="Q62" s="963">
        <f>K62*0.1</f>
        <v>100000</v>
      </c>
      <c r="R62" s="963">
        <f>K62+Q62</f>
        <v>1100000</v>
      </c>
    </row>
    <row r="63" spans="1:22" ht="12.6" customHeight="1">
      <c r="A63" s="101" t="s">
        <v>1306</v>
      </c>
      <c r="B63" s="98"/>
      <c r="C63" s="102"/>
      <c r="D63" s="100"/>
      <c r="E63" s="221">
        <v>195790</v>
      </c>
      <c r="F63" s="100"/>
      <c r="G63" s="221">
        <v>94050</v>
      </c>
      <c r="H63" s="111"/>
      <c r="I63" s="7">
        <f t="shared" ref="I63:I64" si="16">K63-G63</f>
        <v>141200</v>
      </c>
      <c r="J63" s="111"/>
      <c r="K63" s="221">
        <v>235250</v>
      </c>
      <c r="L63" s="100"/>
      <c r="M63" s="221">
        <v>597000</v>
      </c>
      <c r="N63" s="975"/>
      <c r="O63" s="1058">
        <f>M63-K63</f>
        <v>361750</v>
      </c>
      <c r="P63" s="963">
        <f>M63-K63</f>
        <v>361750</v>
      </c>
      <c r="Q63" s="963">
        <f>K63*0.1</f>
        <v>23525</v>
      </c>
      <c r="R63" s="963">
        <f>K63+Q63</f>
        <v>258775</v>
      </c>
    </row>
    <row r="64" spans="1:22" ht="40.5" customHeight="1">
      <c r="A64" s="101" t="s">
        <v>1306</v>
      </c>
      <c r="B64" s="870" t="s">
        <v>1309</v>
      </c>
      <c r="C64" s="102"/>
      <c r="D64" s="100"/>
      <c r="E64" s="221">
        <v>0</v>
      </c>
      <c r="F64" s="100"/>
      <c r="G64" s="221">
        <v>0</v>
      </c>
      <c r="H64" s="111"/>
      <c r="I64" s="7">
        <f t="shared" si="16"/>
        <v>0</v>
      </c>
      <c r="J64" s="111"/>
      <c r="K64" s="221">
        <v>0</v>
      </c>
      <c r="L64" s="100"/>
      <c r="M64" s="221">
        <v>30000</v>
      </c>
      <c r="N64" s="975"/>
      <c r="O64" s="1058">
        <f>M64-K64</f>
        <v>30000</v>
      </c>
      <c r="P64" s="963">
        <f>M64-K64</f>
        <v>30000</v>
      </c>
      <c r="Q64" s="963">
        <f>K64*0.1</f>
        <v>0</v>
      </c>
      <c r="R64" s="963">
        <f>K64+Q64</f>
        <v>0</v>
      </c>
    </row>
    <row r="65" spans="1:19" ht="12.6" customHeight="1">
      <c r="A65" s="101" t="s">
        <v>1306</v>
      </c>
      <c r="B65" s="98" t="s">
        <v>1308</v>
      </c>
      <c r="C65" s="102"/>
      <c r="D65" s="100"/>
      <c r="E65" s="221">
        <v>0</v>
      </c>
      <c r="F65" s="100"/>
      <c r="G65" s="221">
        <v>0</v>
      </c>
      <c r="H65" s="111"/>
      <c r="I65" s="7">
        <f t="shared" ref="I65" si="17">K65-G65</f>
        <v>0</v>
      </c>
      <c r="J65" s="111"/>
      <c r="K65" s="221">
        <v>0</v>
      </c>
      <c r="L65" s="100"/>
      <c r="M65" s="222">
        <v>240000</v>
      </c>
      <c r="N65" s="975"/>
      <c r="O65" s="1058">
        <f>M65-K65</f>
        <v>240000</v>
      </c>
      <c r="P65" s="963">
        <f>M65-K65</f>
        <v>240000</v>
      </c>
      <c r="Q65" s="963">
        <f>K65*0.1</f>
        <v>0</v>
      </c>
      <c r="R65" s="963">
        <f>K65+Q65</f>
        <v>0</v>
      </c>
    </row>
    <row r="66" spans="1:19" ht="12.6" customHeight="1">
      <c r="A66" s="1336" t="s">
        <v>13</v>
      </c>
      <c r="B66" s="1337"/>
      <c r="C66" s="113"/>
      <c r="D66" s="109" t="s">
        <v>15</v>
      </c>
      <c r="E66" s="110">
        <f>SUM(E39:E65)</f>
        <v>2392565.6399999997</v>
      </c>
      <c r="F66" s="109" t="s">
        <v>15</v>
      </c>
      <c r="G66" s="110">
        <f>SUM(G39:G65)</f>
        <v>2173167.23</v>
      </c>
      <c r="H66" s="109" t="s">
        <v>15</v>
      </c>
      <c r="I66" s="110">
        <f>SUM(I39:I65)</f>
        <v>3290332.7699999996</v>
      </c>
      <c r="J66" s="109" t="s">
        <v>15</v>
      </c>
      <c r="K66" s="110">
        <f>SUM(K39:K65)</f>
        <v>5463500</v>
      </c>
      <c r="L66" s="109" t="s">
        <v>15</v>
      </c>
      <c r="M66" s="110">
        <f>SUM(M39:M65)</f>
        <v>4726250</v>
      </c>
      <c r="N66" s="977" t="s">
        <v>15</v>
      </c>
      <c r="O66" s="1033">
        <f>SUM(O39:O65)</f>
        <v>-737250</v>
      </c>
      <c r="P66" s="1037">
        <f>SUM(P39:P65)</f>
        <v>-737250</v>
      </c>
    </row>
    <row r="67" spans="1:19" ht="11.25" customHeight="1">
      <c r="A67" s="173" t="s">
        <v>503</v>
      </c>
      <c r="B67" s="797"/>
      <c r="C67" s="798"/>
      <c r="D67" s="144"/>
      <c r="E67" s="174"/>
      <c r="F67" s="144"/>
      <c r="G67" s="174"/>
      <c r="H67" s="144"/>
      <c r="I67" s="174"/>
      <c r="J67" s="144"/>
      <c r="K67" s="174"/>
      <c r="L67" s="144"/>
      <c r="M67" s="174"/>
      <c r="N67" s="979"/>
      <c r="O67" s="1040"/>
    </row>
    <row r="68" spans="1:19" ht="7.5" customHeight="1">
      <c r="A68" s="121"/>
      <c r="B68" s="867"/>
      <c r="C68" s="102"/>
      <c r="D68" s="122"/>
      <c r="E68" s="123"/>
      <c r="F68" s="122"/>
      <c r="G68" s="123"/>
      <c r="H68" s="122"/>
      <c r="I68" s="123"/>
      <c r="J68" s="122"/>
      <c r="K68" s="123"/>
      <c r="L68" s="122"/>
      <c r="M68" s="123"/>
      <c r="N68" s="981"/>
      <c r="O68" s="1044"/>
    </row>
    <row r="69" spans="1:19" ht="10.5" customHeight="1">
      <c r="A69" s="124" t="s">
        <v>504</v>
      </c>
      <c r="B69" s="867"/>
      <c r="C69" s="102" t="s">
        <v>505</v>
      </c>
      <c r="D69" s="100" t="s">
        <v>15</v>
      </c>
      <c r="E69" s="7">
        <v>24100</v>
      </c>
      <c r="F69" s="100" t="s">
        <v>15</v>
      </c>
      <c r="G69" s="7">
        <v>0</v>
      </c>
      <c r="H69" s="100" t="s">
        <v>15</v>
      </c>
      <c r="I69" s="7">
        <f>K69-G69</f>
        <v>100000</v>
      </c>
      <c r="J69" s="100" t="s">
        <v>15</v>
      </c>
      <c r="K69" s="7">
        <v>100000</v>
      </c>
      <c r="L69" s="100" t="s">
        <v>15</v>
      </c>
      <c r="M69" s="7">
        <v>100000</v>
      </c>
      <c r="N69" s="973" t="s">
        <v>15</v>
      </c>
      <c r="O69" s="1058">
        <f t="shared" ref="O69" si="18">M69-K69</f>
        <v>0</v>
      </c>
    </row>
    <row r="70" spans="1:19" ht="4.5" customHeight="1">
      <c r="A70" s="124"/>
      <c r="B70" s="790"/>
      <c r="C70" s="102"/>
      <c r="D70" s="100"/>
      <c r="E70" s="7"/>
      <c r="F70" s="100"/>
      <c r="G70" s="7"/>
      <c r="H70" s="100"/>
      <c r="I70" s="7"/>
      <c r="J70" s="100"/>
      <c r="K70" s="7"/>
      <c r="L70" s="104"/>
      <c r="M70" s="105"/>
      <c r="N70" s="975"/>
      <c r="O70" s="996"/>
    </row>
    <row r="71" spans="1:19" ht="12.6" customHeight="1">
      <c r="A71" s="1325" t="s">
        <v>690</v>
      </c>
      <c r="B71" s="1326"/>
      <c r="C71" s="102"/>
      <c r="D71" s="109" t="s">
        <v>15</v>
      </c>
      <c r="E71" s="110">
        <f>SUM(E69:E70)</f>
        <v>24100</v>
      </c>
      <c r="F71" s="109" t="s">
        <v>15</v>
      </c>
      <c r="G71" s="110">
        <f>SUM(G69:G70)</f>
        <v>0</v>
      </c>
      <c r="H71" s="109" t="s">
        <v>15</v>
      </c>
      <c r="I71" s="110">
        <f>SUM(I69:I70)</f>
        <v>100000</v>
      </c>
      <c r="J71" s="109" t="s">
        <v>15</v>
      </c>
      <c r="K71" s="110">
        <f>SUM(K69:K70)</f>
        <v>100000</v>
      </c>
      <c r="L71" s="109" t="s">
        <v>15</v>
      </c>
      <c r="M71" s="110">
        <f>SUM(M69:M70)</f>
        <v>100000</v>
      </c>
      <c r="N71" s="977" t="s">
        <v>15</v>
      </c>
      <c r="O71" s="1033">
        <f>SUM(O69:O70)</f>
        <v>0</v>
      </c>
      <c r="P71" s="1033">
        <f>SUM(P53:P69)</f>
        <v>-1074500</v>
      </c>
      <c r="S71" s="961" t="s">
        <v>11</v>
      </c>
    </row>
    <row r="72" spans="1:19" ht="12.6" customHeight="1">
      <c r="A72" s="121" t="s">
        <v>283</v>
      </c>
      <c r="B72" s="867"/>
      <c r="C72" s="102"/>
      <c r="D72" s="144"/>
      <c r="E72" s="174"/>
      <c r="F72" s="144"/>
      <c r="G72" s="174"/>
      <c r="H72" s="144"/>
      <c r="I72" s="174"/>
      <c r="J72" s="144"/>
      <c r="K72" s="174"/>
      <c r="L72" s="144"/>
      <c r="M72" s="174"/>
      <c r="N72" s="997"/>
      <c r="O72" s="1037"/>
    </row>
    <row r="73" spans="1:19" ht="12.6" customHeight="1">
      <c r="A73" s="124" t="s">
        <v>51</v>
      </c>
      <c r="B73" s="817"/>
      <c r="C73" s="102" t="s">
        <v>149</v>
      </c>
      <c r="D73" s="100" t="s">
        <v>15</v>
      </c>
      <c r="E73" s="7"/>
      <c r="F73" s="100" t="s">
        <v>15</v>
      </c>
      <c r="G73" s="7"/>
      <c r="H73" s="100" t="s">
        <v>15</v>
      </c>
      <c r="I73" s="7">
        <f t="shared" ref="I73:I77" si="19">K73-G73</f>
        <v>0</v>
      </c>
      <c r="J73" s="100" t="s">
        <v>15</v>
      </c>
      <c r="K73" s="7">
        <v>0</v>
      </c>
      <c r="L73" s="100" t="s">
        <v>15</v>
      </c>
      <c r="M73" s="7"/>
      <c r="N73" s="971" t="s">
        <v>15</v>
      </c>
      <c r="O73" s="1035"/>
    </row>
    <row r="74" spans="1:19" ht="12" customHeight="1">
      <c r="A74" s="124" t="s">
        <v>152</v>
      </c>
      <c r="B74" s="817"/>
      <c r="C74" s="102" t="s">
        <v>150</v>
      </c>
      <c r="D74" s="100"/>
      <c r="E74" s="7"/>
      <c r="F74" s="100"/>
      <c r="G74" s="7"/>
      <c r="H74" s="100"/>
      <c r="I74" s="7">
        <f t="shared" si="19"/>
        <v>0</v>
      </c>
      <c r="J74" s="100"/>
      <c r="K74" s="7"/>
      <c r="L74" s="100"/>
      <c r="M74" s="7"/>
      <c r="N74" s="975"/>
      <c r="O74" s="996"/>
    </row>
    <row r="75" spans="1:19" ht="12.6" customHeight="1">
      <c r="A75" s="124" t="s">
        <v>1122</v>
      </c>
      <c r="B75" s="518"/>
      <c r="C75" s="102"/>
      <c r="D75" s="100"/>
      <c r="E75" s="7">
        <v>0</v>
      </c>
      <c r="F75" s="100"/>
      <c r="G75" s="7"/>
      <c r="H75" s="100"/>
      <c r="I75" s="7">
        <f t="shared" si="19"/>
        <v>0</v>
      </c>
      <c r="J75" s="100"/>
      <c r="K75" s="7">
        <v>0</v>
      </c>
      <c r="L75" s="100"/>
      <c r="M75" s="7"/>
      <c r="N75" s="975"/>
      <c r="O75" s="996">
        <v>0</v>
      </c>
    </row>
    <row r="76" spans="1:19" ht="12.6" customHeight="1">
      <c r="A76" s="124" t="s">
        <v>409</v>
      </c>
      <c r="B76" s="518"/>
      <c r="C76" s="102" t="s">
        <v>151</v>
      </c>
      <c r="D76" s="122"/>
      <c r="E76" s="7"/>
      <c r="F76" s="122"/>
      <c r="G76" s="7"/>
      <c r="H76" s="122"/>
      <c r="I76" s="7">
        <f t="shared" si="19"/>
        <v>0</v>
      </c>
      <c r="J76" s="122"/>
      <c r="K76" s="7"/>
      <c r="L76" s="100"/>
      <c r="M76" s="7"/>
      <c r="N76" s="975"/>
      <c r="O76" s="996"/>
    </row>
    <row r="77" spans="1:19" ht="12.6" customHeight="1">
      <c r="A77" s="124" t="s">
        <v>1019</v>
      </c>
      <c r="B77" s="407"/>
      <c r="C77" s="102"/>
      <c r="D77" s="122"/>
      <c r="E77" s="7">
        <v>0</v>
      </c>
      <c r="F77" s="122"/>
      <c r="G77" s="7"/>
      <c r="H77" s="122"/>
      <c r="I77" s="7">
        <f t="shared" si="19"/>
        <v>100000</v>
      </c>
      <c r="J77" s="122"/>
      <c r="K77" s="7">
        <v>100000</v>
      </c>
      <c r="L77" s="100"/>
      <c r="M77" s="7"/>
      <c r="N77" s="975"/>
      <c r="O77" s="996">
        <v>0</v>
      </c>
    </row>
    <row r="78" spans="1:19" ht="12.6" customHeight="1">
      <c r="A78" s="124" t="s">
        <v>334</v>
      </c>
      <c r="B78" s="800"/>
      <c r="C78" s="102" t="s">
        <v>335</v>
      </c>
      <c r="D78" s="122"/>
      <c r="E78" s="7"/>
      <c r="F78" s="122"/>
      <c r="G78" s="7"/>
      <c r="H78" s="122"/>
      <c r="I78" s="7">
        <f>K78-G78</f>
        <v>0</v>
      </c>
      <c r="J78" s="122"/>
      <c r="K78" s="7"/>
      <c r="L78" s="100"/>
      <c r="M78" s="7"/>
      <c r="N78" s="975"/>
      <c r="O78" s="996"/>
    </row>
    <row r="79" spans="1:19" ht="12" customHeight="1">
      <c r="A79" s="124" t="s">
        <v>50</v>
      </c>
      <c r="B79" s="800"/>
      <c r="C79" s="102" t="s">
        <v>156</v>
      </c>
      <c r="D79" s="100"/>
      <c r="E79" s="7"/>
      <c r="F79" s="100"/>
      <c r="G79" s="7"/>
      <c r="H79" s="100"/>
      <c r="I79" s="7">
        <f>K79-G79</f>
        <v>0</v>
      </c>
      <c r="J79" s="100"/>
      <c r="K79" s="7"/>
      <c r="L79" s="100"/>
      <c r="M79" s="7"/>
      <c r="N79" s="975"/>
      <c r="O79" s="996"/>
    </row>
    <row r="80" spans="1:19" ht="12" customHeight="1">
      <c r="A80" s="124" t="s">
        <v>1020</v>
      </c>
      <c r="B80" s="790"/>
      <c r="C80" s="102"/>
      <c r="D80" s="100"/>
      <c r="E80" s="105">
        <v>0</v>
      </c>
      <c r="F80" s="104"/>
      <c r="G80" s="105"/>
      <c r="H80" s="104"/>
      <c r="I80" s="7">
        <f>K80-G80</f>
        <v>120000</v>
      </c>
      <c r="J80" s="104"/>
      <c r="K80" s="105">
        <v>120000</v>
      </c>
      <c r="L80" s="104"/>
      <c r="M80" s="105"/>
      <c r="N80" s="975"/>
      <c r="O80" s="996">
        <v>0</v>
      </c>
    </row>
    <row r="81" spans="1:22" s="265" customFormat="1" ht="9.75" customHeight="1">
      <c r="A81" s="1355" t="s">
        <v>16</v>
      </c>
      <c r="B81" s="1356"/>
      <c r="C81" s="280"/>
      <c r="D81" s="281" t="s">
        <v>15</v>
      </c>
      <c r="E81" s="282">
        <f>SUM(E73:E78)</f>
        <v>0</v>
      </c>
      <c r="F81" s="281" t="s">
        <v>15</v>
      </c>
      <c r="G81" s="282">
        <f>SUM(G73:G78)</f>
        <v>0</v>
      </c>
      <c r="H81" s="281" t="s">
        <v>15</v>
      </c>
      <c r="I81" s="282">
        <f>SUM(I73:I80)</f>
        <v>220000</v>
      </c>
      <c r="J81" s="281" t="s">
        <v>15</v>
      </c>
      <c r="K81" s="282">
        <f>SUM(K73:K80)</f>
        <v>220000</v>
      </c>
      <c r="L81" s="281" t="s">
        <v>15</v>
      </c>
      <c r="M81" s="282">
        <f>SUM(M73:M80)</f>
        <v>0</v>
      </c>
      <c r="N81" s="1064" t="s">
        <v>15</v>
      </c>
      <c r="O81" s="1065">
        <f>M81-K81</f>
        <v>-220000</v>
      </c>
      <c r="P81" s="1066">
        <f>M81-K81</f>
        <v>-220000</v>
      </c>
      <c r="Q81" s="1067"/>
      <c r="R81" s="1067"/>
      <c r="S81" s="1067"/>
      <c r="T81" s="1067"/>
      <c r="U81" s="1067"/>
      <c r="V81" s="1067"/>
    </row>
    <row r="82" spans="1:22" ht="2.25" customHeight="1">
      <c r="A82" s="155"/>
      <c r="B82" s="119"/>
      <c r="C82" s="102"/>
      <c r="D82" s="122"/>
      <c r="E82" s="123"/>
      <c r="F82" s="122"/>
      <c r="G82" s="123"/>
      <c r="H82" s="122"/>
      <c r="I82" s="123"/>
      <c r="J82" s="122"/>
      <c r="K82" s="123"/>
      <c r="L82" s="122"/>
      <c r="M82" s="123"/>
      <c r="N82" s="979"/>
      <c r="O82" s="1040"/>
    </row>
    <row r="83" spans="1:22" ht="12.6" customHeight="1">
      <c r="A83" s="1336" t="s">
        <v>277</v>
      </c>
      <c r="B83" s="1337"/>
      <c r="C83" s="113"/>
      <c r="D83" s="125" t="s">
        <v>15</v>
      </c>
      <c r="E83" s="126">
        <f>E81+E66+E37+E71</f>
        <v>11674048.399999999</v>
      </c>
      <c r="F83" s="125" t="s">
        <v>15</v>
      </c>
      <c r="G83" s="126">
        <f>G81+G66+G37+G71</f>
        <v>6575929.540000001</v>
      </c>
      <c r="H83" s="125" t="s">
        <v>15</v>
      </c>
      <c r="I83" s="126">
        <f>I81+I66+I37+I71</f>
        <v>9939300.459999999</v>
      </c>
      <c r="J83" s="125" t="s">
        <v>15</v>
      </c>
      <c r="K83" s="126">
        <f>K81+K66+K37+K71</f>
        <v>16515230</v>
      </c>
      <c r="L83" s="125" t="s">
        <v>15</v>
      </c>
      <c r="M83" s="126">
        <f>M81+M66+M37+M71</f>
        <v>15664911</v>
      </c>
      <c r="N83" s="981"/>
      <c r="O83" s="1044"/>
      <c r="P83" s="1044">
        <f>P81+P66+P2+P414</f>
        <v>-957250</v>
      </c>
    </row>
    <row r="84" spans="1:22" ht="12.75" customHeight="1">
      <c r="A84" s="62" t="s">
        <v>1623</v>
      </c>
      <c r="B84" s="916"/>
      <c r="C84" s="915"/>
      <c r="D84" s="149"/>
      <c r="E84" s="175"/>
      <c r="F84" s="149"/>
      <c r="G84" s="175"/>
      <c r="H84" s="149"/>
      <c r="I84" s="175"/>
      <c r="J84" s="149"/>
      <c r="K84" s="175"/>
      <c r="L84" s="149"/>
      <c r="M84" s="175"/>
      <c r="N84" s="1002"/>
      <c r="O84" s="1039"/>
      <c r="P84" s="1039"/>
    </row>
    <row r="85" spans="1:22" s="127" customFormat="1" ht="15.75" customHeight="1">
      <c r="A85" s="127" t="s">
        <v>187</v>
      </c>
      <c r="C85" s="128" t="s">
        <v>188</v>
      </c>
      <c r="F85" s="129"/>
      <c r="I85" s="127" t="s">
        <v>190</v>
      </c>
      <c r="L85" s="129"/>
      <c r="N85" s="964"/>
      <c r="O85" s="985"/>
      <c r="P85" s="964"/>
      <c r="Q85" s="985"/>
      <c r="R85" s="1009"/>
      <c r="S85" s="1009"/>
      <c r="T85" s="1009"/>
      <c r="U85" s="1009"/>
      <c r="V85" s="1009"/>
    </row>
    <row r="87" spans="1:22" ht="11.25" customHeight="1"/>
    <row r="88" spans="1:22" s="89" customFormat="1">
      <c r="A88" s="1323" t="s">
        <v>1608</v>
      </c>
      <c r="B88" s="1323"/>
      <c r="C88" s="1323" t="s">
        <v>1584</v>
      </c>
      <c r="D88" s="1323"/>
      <c r="E88" s="1323"/>
      <c r="F88" s="1323"/>
      <c r="G88" s="1323"/>
      <c r="H88" s="131"/>
      <c r="I88" s="1323" t="str">
        <f>macco!I96</f>
        <v>(Sgd.) ATTY. JOSE JOEL P. DOROMAL</v>
      </c>
      <c r="J88" s="1323"/>
      <c r="K88" s="1323"/>
      <c r="L88" s="1323"/>
      <c r="M88" s="1323"/>
      <c r="N88" s="967"/>
      <c r="O88" s="967"/>
      <c r="P88" s="965"/>
      <c r="Q88" s="965"/>
      <c r="R88" s="965"/>
      <c r="S88" s="965"/>
      <c r="T88" s="965"/>
      <c r="U88" s="965"/>
      <c r="V88" s="965"/>
    </row>
    <row r="89" spans="1:22" ht="11.25" customHeight="1">
      <c r="A89" s="1322" t="s">
        <v>209</v>
      </c>
      <c r="B89" s="1322"/>
      <c r="C89" s="1322" t="s">
        <v>206</v>
      </c>
      <c r="D89" s="1322"/>
      <c r="E89" s="1322"/>
      <c r="F89" s="1322"/>
      <c r="G89" s="1322"/>
      <c r="I89" s="1322" t="s">
        <v>192</v>
      </c>
      <c r="J89" s="1322"/>
      <c r="K89" s="1322"/>
      <c r="L89" s="1322"/>
      <c r="M89" s="1322"/>
      <c r="N89" s="962"/>
      <c r="O89" s="962"/>
    </row>
    <row r="135" spans="1:14" ht="12" customHeight="1"/>
    <row r="136" spans="1:14" hidden="1"/>
    <row r="137" spans="1:14">
      <c r="A137" s="134" t="s">
        <v>224</v>
      </c>
      <c r="B137" s="92"/>
      <c r="C137" s="92"/>
      <c r="D137" s="116"/>
      <c r="E137" s="115"/>
      <c r="F137" s="86"/>
      <c r="H137" s="86"/>
      <c r="J137" s="86"/>
      <c r="L137" s="86"/>
      <c r="N137" s="961"/>
    </row>
    <row r="138" spans="1:14">
      <c r="A138" s="1324" t="s">
        <v>60</v>
      </c>
      <c r="B138" s="1311"/>
      <c r="C138" s="108"/>
      <c r="D138" s="111"/>
      <c r="E138" s="98"/>
      <c r="F138" s="86"/>
      <c r="H138" s="86"/>
      <c r="J138" s="86"/>
      <c r="L138" s="86"/>
      <c r="N138" s="961"/>
    </row>
    <row r="139" spans="1:14">
      <c r="A139" s="101" t="s">
        <v>233</v>
      </c>
      <c r="B139" s="108"/>
      <c r="C139" s="108"/>
      <c r="D139" s="111"/>
      <c r="E139" s="135" t="s">
        <v>228</v>
      </c>
      <c r="F139" s="86"/>
      <c r="H139" s="86"/>
      <c r="J139" s="86"/>
      <c r="L139" s="86"/>
      <c r="N139" s="961"/>
    </row>
    <row r="140" spans="1:14">
      <c r="A140" s="101"/>
      <c r="B140" s="108"/>
      <c r="C140" s="108"/>
      <c r="D140" s="111"/>
      <c r="E140" s="98"/>
      <c r="F140" s="86"/>
      <c r="H140" s="86"/>
      <c r="J140" s="86"/>
      <c r="L140" s="86"/>
      <c r="N140" s="961"/>
    </row>
    <row r="141" spans="1:14">
      <c r="A141" s="136" t="s">
        <v>61</v>
      </c>
      <c r="B141" s="108"/>
      <c r="C141" s="108"/>
      <c r="D141" s="111" t="s">
        <v>15</v>
      </c>
      <c r="E141" s="7">
        <v>599000</v>
      </c>
      <c r="F141" s="86"/>
      <c r="H141" s="86"/>
      <c r="J141" s="86"/>
      <c r="L141" s="86"/>
      <c r="N141" s="961"/>
    </row>
    <row r="142" spans="1:14">
      <c r="A142" s="136" t="s">
        <v>235</v>
      </c>
      <c r="B142" s="108"/>
      <c r="C142" s="108"/>
      <c r="D142" s="111"/>
      <c r="E142" s="7">
        <v>496000</v>
      </c>
      <c r="F142" s="86"/>
      <c r="H142" s="86"/>
      <c r="J142" s="86"/>
      <c r="L142" s="86"/>
      <c r="N142" s="961"/>
    </row>
    <row r="143" spans="1:14">
      <c r="A143" s="136" t="s">
        <v>77</v>
      </c>
      <c r="B143" s="108"/>
      <c r="C143" s="108"/>
      <c r="D143" s="111"/>
      <c r="E143" s="7">
        <f>30000+15000+50000</f>
        <v>95000</v>
      </c>
      <c r="F143" s="86"/>
      <c r="H143" s="86"/>
      <c r="J143" s="86"/>
      <c r="L143" s="86"/>
      <c r="N143" s="961"/>
    </row>
    <row r="144" spans="1:14">
      <c r="A144" s="136" t="s">
        <v>78</v>
      </c>
      <c r="B144" s="108"/>
      <c r="C144" s="108"/>
      <c r="D144" s="111"/>
      <c r="E144" s="7">
        <v>181000</v>
      </c>
      <c r="F144" s="86"/>
      <c r="H144" s="86"/>
      <c r="J144" s="86"/>
      <c r="L144" s="86"/>
      <c r="N144" s="961"/>
    </row>
    <row r="145" spans="1:14">
      <c r="A145" s="136" t="s">
        <v>79</v>
      </c>
      <c r="B145" s="108"/>
      <c r="C145" s="108"/>
      <c r="D145" s="111"/>
      <c r="E145" s="7">
        <v>100000</v>
      </c>
      <c r="F145" s="86"/>
      <c r="H145" s="86"/>
      <c r="J145" s="86"/>
      <c r="L145" s="86"/>
      <c r="N145" s="961"/>
    </row>
    <row r="146" spans="1:14" ht="15.75">
      <c r="A146" s="136" t="s">
        <v>89</v>
      </c>
      <c r="B146" s="108"/>
      <c r="C146" s="108"/>
      <c r="D146" s="111"/>
      <c r="E146" s="137">
        <v>95000</v>
      </c>
      <c r="F146" s="86"/>
      <c r="H146" s="86"/>
      <c r="J146" s="86"/>
      <c r="L146" s="86"/>
      <c r="N146" s="961"/>
    </row>
    <row r="147" spans="1:14">
      <c r="A147" s="1320" t="s">
        <v>64</v>
      </c>
      <c r="B147" s="1321"/>
      <c r="C147" s="108"/>
      <c r="D147" s="111" t="s">
        <v>15</v>
      </c>
      <c r="E147" s="7">
        <f>SUM(E141:E146)</f>
        <v>1566000</v>
      </c>
      <c r="F147" s="86"/>
      <c r="H147" s="86"/>
      <c r="J147" s="86"/>
      <c r="L147" s="86"/>
      <c r="N147" s="961"/>
    </row>
    <row r="148" spans="1:14">
      <c r="A148" s="138"/>
      <c r="B148" s="90"/>
      <c r="C148" s="90"/>
      <c r="D148" s="139"/>
      <c r="E148" s="112"/>
      <c r="F148" s="86"/>
      <c r="H148" s="86"/>
      <c r="J148" s="86"/>
      <c r="L148" s="86"/>
      <c r="N148" s="961"/>
    </row>
    <row r="151" spans="1:14">
      <c r="A151" s="134" t="s">
        <v>224</v>
      </c>
      <c r="B151" s="92"/>
      <c r="C151" s="92"/>
      <c r="D151" s="116"/>
      <c r="E151" s="115"/>
    </row>
    <row r="152" spans="1:14">
      <c r="A152" s="1324" t="s">
        <v>60</v>
      </c>
      <c r="B152" s="1311"/>
      <c r="C152" s="108"/>
      <c r="D152" s="111"/>
      <c r="E152" s="98"/>
    </row>
    <row r="153" spans="1:14">
      <c r="A153" s="101" t="s">
        <v>233</v>
      </c>
      <c r="B153" s="108"/>
      <c r="C153" s="108"/>
      <c r="D153" s="111"/>
      <c r="E153" s="135" t="s">
        <v>300</v>
      </c>
    </row>
    <row r="154" spans="1:14">
      <c r="A154" s="101"/>
      <c r="B154" s="108"/>
      <c r="C154" s="108"/>
      <c r="D154" s="111"/>
      <c r="E154" s="98"/>
    </row>
    <row r="155" spans="1:14">
      <c r="A155" s="136" t="s">
        <v>61</v>
      </c>
      <c r="B155" s="108"/>
      <c r="C155" s="108"/>
      <c r="D155" s="111" t="s">
        <v>15</v>
      </c>
      <c r="E155" s="7">
        <v>538000</v>
      </c>
    </row>
    <row r="156" spans="1:14">
      <c r="A156" s="136" t="s">
        <v>77</v>
      </c>
      <c r="B156" s="108"/>
      <c r="C156" s="108"/>
      <c r="D156" s="111"/>
      <c r="E156" s="7">
        <v>200000</v>
      </c>
    </row>
    <row r="157" spans="1:14">
      <c r="A157" s="136" t="s">
        <v>78</v>
      </c>
      <c r="B157" s="108"/>
      <c r="C157" s="108"/>
      <c r="D157" s="111"/>
      <c r="E157" s="7">
        <v>181000</v>
      </c>
    </row>
    <row r="158" spans="1:14">
      <c r="A158" s="136" t="s">
        <v>79</v>
      </c>
      <c r="B158" s="108"/>
      <c r="C158" s="108"/>
      <c r="D158" s="111"/>
      <c r="E158" s="7">
        <v>100000</v>
      </c>
    </row>
    <row r="159" spans="1:14">
      <c r="A159" s="136" t="s">
        <v>89</v>
      </c>
      <c r="B159" s="108"/>
      <c r="C159" s="108"/>
      <c r="D159" s="111"/>
      <c r="E159" s="7">
        <v>100000</v>
      </c>
    </row>
    <row r="160" spans="1:14">
      <c r="A160" s="136" t="s">
        <v>309</v>
      </c>
      <c r="B160" s="108"/>
      <c r="C160" s="108"/>
      <c r="D160" s="111"/>
      <c r="E160" s="7">
        <v>100000</v>
      </c>
    </row>
    <row r="161" spans="1:5" ht="15.75">
      <c r="A161" s="136" t="s">
        <v>323</v>
      </c>
      <c r="B161" s="108"/>
      <c r="C161" s="108"/>
      <c r="D161" s="111"/>
      <c r="E161" s="137">
        <v>690000</v>
      </c>
    </row>
    <row r="162" spans="1:5">
      <c r="A162" s="1320" t="s">
        <v>64</v>
      </c>
      <c r="B162" s="1321"/>
      <c r="C162" s="108"/>
      <c r="D162" s="111" t="s">
        <v>15</v>
      </c>
      <c r="E162" s="7">
        <f>SUM(E155:E161)</f>
        <v>1909000</v>
      </c>
    </row>
    <row r="163" spans="1:5">
      <c r="A163" s="138"/>
      <c r="B163" s="90"/>
      <c r="C163" s="90"/>
      <c r="D163" s="139"/>
      <c r="E163" s="112"/>
    </row>
    <row r="168" spans="1:5">
      <c r="A168" s="134" t="s">
        <v>224</v>
      </c>
      <c r="B168" s="92"/>
      <c r="C168" s="92"/>
      <c r="D168" s="116"/>
      <c r="E168" s="115"/>
    </row>
    <row r="169" spans="1:5">
      <c r="A169" s="1324" t="s">
        <v>60</v>
      </c>
      <c r="B169" s="1311"/>
      <c r="C169" s="108"/>
      <c r="D169" s="111"/>
      <c r="E169" s="98"/>
    </row>
    <row r="170" spans="1:5">
      <c r="A170" s="101" t="s">
        <v>233</v>
      </c>
      <c r="B170" s="108"/>
      <c r="C170" s="108"/>
      <c r="D170" s="111"/>
      <c r="E170" s="135" t="s">
        <v>300</v>
      </c>
    </row>
    <row r="171" spans="1:5">
      <c r="A171" s="101"/>
      <c r="B171" s="108"/>
      <c r="C171" s="108"/>
      <c r="D171" s="111"/>
      <c r="E171" s="98"/>
    </row>
    <row r="172" spans="1:5">
      <c r="A172" s="136" t="s">
        <v>61</v>
      </c>
      <c r="B172" s="108"/>
      <c r="C172" s="108"/>
      <c r="D172" s="111" t="s">
        <v>15</v>
      </c>
      <c r="E172" s="7">
        <v>538000</v>
      </c>
    </row>
    <row r="173" spans="1:5">
      <c r="A173" s="136" t="s">
        <v>77</v>
      </c>
      <c r="B173" s="108"/>
      <c r="C173" s="108"/>
      <c r="D173" s="111"/>
      <c r="E173" s="7">
        <v>200000</v>
      </c>
    </row>
    <row r="174" spans="1:5">
      <c r="A174" s="136" t="s">
        <v>78</v>
      </c>
      <c r="B174" s="108"/>
      <c r="C174" s="108"/>
      <c r="D174" s="111"/>
      <c r="E174" s="7">
        <v>181000</v>
      </c>
    </row>
    <row r="175" spans="1:5">
      <c r="A175" s="136" t="s">
        <v>79</v>
      </c>
      <c r="B175" s="108"/>
      <c r="C175" s="108"/>
      <c r="D175" s="111"/>
      <c r="E175" s="7">
        <v>100000</v>
      </c>
    </row>
    <row r="176" spans="1:5">
      <c r="A176" s="136" t="s">
        <v>89</v>
      </c>
      <c r="B176" s="108"/>
      <c r="C176" s="108"/>
      <c r="D176" s="111"/>
      <c r="E176" s="7">
        <v>100000</v>
      </c>
    </row>
    <row r="177" spans="1:5">
      <c r="A177" s="136" t="s">
        <v>309</v>
      </c>
      <c r="B177" s="108"/>
      <c r="C177" s="108"/>
      <c r="D177" s="111"/>
      <c r="E177" s="7">
        <v>100000</v>
      </c>
    </row>
    <row r="178" spans="1:5" ht="15.75">
      <c r="A178" s="136" t="s">
        <v>323</v>
      </c>
      <c r="B178" s="108"/>
      <c r="C178" s="108"/>
      <c r="D178" s="111"/>
      <c r="E178" s="137">
        <v>690000</v>
      </c>
    </row>
    <row r="179" spans="1:5">
      <c r="A179" s="1320" t="s">
        <v>64</v>
      </c>
      <c r="B179" s="1321"/>
      <c r="C179" s="108"/>
      <c r="D179" s="111" t="s">
        <v>15</v>
      </c>
      <c r="E179" s="7">
        <f>SUM(E172:E178)</f>
        <v>1909000</v>
      </c>
    </row>
    <row r="180" spans="1:5">
      <c r="A180" s="138"/>
      <c r="B180" s="90"/>
      <c r="C180" s="90"/>
      <c r="D180" s="139"/>
      <c r="E180" s="112"/>
    </row>
    <row r="181" spans="1:5">
      <c r="A181" s="157"/>
      <c r="B181" s="108"/>
      <c r="C181" s="108"/>
      <c r="D181" s="111"/>
      <c r="E181" s="108"/>
    </row>
    <row r="183" spans="1:5">
      <c r="A183" s="134" t="s">
        <v>225</v>
      </c>
      <c r="B183" s="92"/>
      <c r="C183" s="92"/>
      <c r="D183" s="116"/>
      <c r="E183" s="115"/>
    </row>
    <row r="184" spans="1:5">
      <c r="A184" s="1324" t="s">
        <v>60</v>
      </c>
      <c r="B184" s="1311"/>
      <c r="C184" s="108"/>
      <c r="D184" s="111"/>
      <c r="E184" s="98"/>
    </row>
    <row r="185" spans="1:5">
      <c r="A185" s="101" t="s">
        <v>233</v>
      </c>
      <c r="B185" s="108"/>
      <c r="C185" s="108"/>
      <c r="D185" s="111"/>
      <c r="E185" s="135" t="s">
        <v>300</v>
      </c>
    </row>
    <row r="186" spans="1:5">
      <c r="A186" s="101"/>
      <c r="B186" s="108"/>
      <c r="C186" s="108"/>
      <c r="D186" s="111"/>
      <c r="E186" s="98"/>
    </row>
    <row r="187" spans="1:5">
      <c r="A187" s="136" t="s">
        <v>61</v>
      </c>
      <c r="B187" s="108"/>
      <c r="C187" s="108"/>
      <c r="D187" s="111" t="s">
        <v>15</v>
      </c>
      <c r="E187" s="7">
        <v>1488000</v>
      </c>
    </row>
    <row r="188" spans="1:5">
      <c r="A188" s="136" t="s">
        <v>81</v>
      </c>
      <c r="B188" s="108"/>
      <c r="C188" s="108"/>
      <c r="D188" s="111"/>
      <c r="E188" s="7">
        <v>120000</v>
      </c>
    </row>
    <row r="189" spans="1:5">
      <c r="A189" s="136" t="s">
        <v>82</v>
      </c>
      <c r="B189" s="108"/>
      <c r="C189" s="108"/>
      <c r="D189" s="111"/>
      <c r="E189" s="7">
        <v>100000</v>
      </c>
    </row>
    <row r="190" spans="1:5">
      <c r="A190" s="136" t="s">
        <v>87</v>
      </c>
      <c r="B190" s="108"/>
      <c r="C190" s="108"/>
      <c r="D190" s="111"/>
      <c r="E190" s="7">
        <v>150000</v>
      </c>
    </row>
    <row r="191" spans="1:5">
      <c r="A191" s="136" t="s">
        <v>310</v>
      </c>
      <c r="B191" s="108"/>
      <c r="C191" s="108"/>
      <c r="D191" s="111"/>
      <c r="E191" s="7">
        <v>100000</v>
      </c>
    </row>
    <row r="192" spans="1:5" ht="15.75">
      <c r="A192" s="136" t="s">
        <v>323</v>
      </c>
      <c r="B192" s="108"/>
      <c r="C192" s="108"/>
      <c r="D192" s="111"/>
      <c r="E192" s="137">
        <v>390000</v>
      </c>
    </row>
    <row r="193" spans="1:5">
      <c r="A193" s="1320" t="s">
        <v>64</v>
      </c>
      <c r="B193" s="1321"/>
      <c r="C193" s="108"/>
      <c r="D193" s="111" t="s">
        <v>15</v>
      </c>
      <c r="E193" s="7">
        <f>SUM(E187:E192)</f>
        <v>2348000</v>
      </c>
    </row>
    <row r="194" spans="1:5">
      <c r="A194" s="138"/>
      <c r="B194" s="90"/>
      <c r="C194" s="90"/>
      <c r="D194" s="139"/>
      <c r="E194" s="112"/>
    </row>
  </sheetData>
  <sheetProtection algorithmName="SHA-512" hashValue="6uSEyItLUWc6n8Tkcu1Ijp+lnq40iCGZXKUhGcLjD9BQ0tC9OcOzBhgnqREMZnvtTWXT6TXPuA31wmteUz2Kvw==" saltValue="t521/LpHkn+g6YnWfInwMA==" spinCount="100000" sheet="1" objects="1" scenarios="1"/>
  <mergeCells count="37">
    <mergeCell ref="N11:O13"/>
    <mergeCell ref="A162:B162"/>
    <mergeCell ref="J12:K13"/>
    <mergeCell ref="A83:B83"/>
    <mergeCell ref="A66:B66"/>
    <mergeCell ref="A12:B12"/>
    <mergeCell ref="A147:B147"/>
    <mergeCell ref="C89:G89"/>
    <mergeCell ref="H12:I12"/>
    <mergeCell ref="C88:G88"/>
    <mergeCell ref="H13:I13"/>
    <mergeCell ref="A88:B88"/>
    <mergeCell ref="A152:B152"/>
    <mergeCell ref="D12:E12"/>
    <mergeCell ref="A71:B71"/>
    <mergeCell ref="A3:M3"/>
    <mergeCell ref="A4:M4"/>
    <mergeCell ref="J7:M7"/>
    <mergeCell ref="J8:M8"/>
    <mergeCell ref="D11:E11"/>
    <mergeCell ref="L11:M11"/>
    <mergeCell ref="A184:B184"/>
    <mergeCell ref="A193:B193"/>
    <mergeCell ref="A37:B37"/>
    <mergeCell ref="F11:K11"/>
    <mergeCell ref="F13:G13"/>
    <mergeCell ref="A89:B89"/>
    <mergeCell ref="A81:B81"/>
    <mergeCell ref="A138:B138"/>
    <mergeCell ref="I88:M88"/>
    <mergeCell ref="I89:M89"/>
    <mergeCell ref="L12:M12"/>
    <mergeCell ref="D13:E13"/>
    <mergeCell ref="L13:M13"/>
    <mergeCell ref="A179:B179"/>
    <mergeCell ref="F12:G12"/>
    <mergeCell ref="A169:B169"/>
  </mergeCells>
  <pageMargins left="0.196850393700787" right="0.196850393700787" top="1" bottom="1" header="0.31496062992126" footer="0.511811023622047"/>
  <pageSetup paperSize="14" orientation="portrait" verticalDpi="300" r:id="rId1"/>
  <headerFooter alignWithMargins="0">
    <oddHeader>&amp;RPage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V146"/>
  <sheetViews>
    <sheetView topLeftCell="A57" zoomScale="145" zoomScaleNormal="145" workbookViewId="0">
      <selection activeCell="N22" sqref="N22"/>
    </sheetView>
  </sheetViews>
  <sheetFormatPr defaultColWidth="9.140625" defaultRowHeight="13.5"/>
  <cols>
    <col min="1" max="1" width="7.140625" style="86" customWidth="1"/>
    <col min="2" max="2" width="27.85546875" style="86" customWidth="1"/>
    <col min="3" max="3" width="8.5703125" style="86" customWidth="1"/>
    <col min="4" max="4" width="1.42578125" style="87" customWidth="1"/>
    <col min="5" max="5" width="10.5703125" style="86" customWidth="1"/>
    <col min="6" max="6" width="1.28515625" style="87" customWidth="1"/>
    <col min="7" max="7" width="10" style="86" customWidth="1"/>
    <col min="8" max="8" width="1.42578125" style="87" customWidth="1"/>
    <col min="9" max="9" width="10.140625" style="86" customWidth="1"/>
    <col min="10" max="10" width="1.42578125" style="87" customWidth="1"/>
    <col min="11" max="11" width="10.7109375" style="86" customWidth="1"/>
    <col min="12" max="12" width="1.42578125" style="87" customWidth="1"/>
    <col min="13" max="13" width="10.7109375" style="86" customWidth="1"/>
    <col min="14" max="14" width="1.28515625" style="87" hidden="1" customWidth="1"/>
    <col min="15" max="15" width="10.7109375" style="961" hidden="1" customWidth="1"/>
    <col min="16" max="16" width="10.42578125" style="961" hidden="1" customWidth="1"/>
    <col min="17" max="19" width="9.140625" style="961"/>
    <col min="20" max="16384" width="9.140625" style="86"/>
  </cols>
  <sheetData>
    <row r="1" spans="1:20">
      <c r="A1" s="86" t="s">
        <v>186</v>
      </c>
    </row>
    <row r="2" spans="1:20" ht="9" customHeight="1"/>
    <row r="3" spans="1:20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774"/>
      <c r="O3" s="967"/>
      <c r="P3" s="962"/>
      <c r="Q3" s="962"/>
      <c r="R3" s="962"/>
      <c r="S3" s="962"/>
      <c r="T3" s="88"/>
    </row>
    <row r="4" spans="1:20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774"/>
      <c r="O4" s="967"/>
      <c r="P4" s="962"/>
      <c r="Q4" s="962"/>
      <c r="R4" s="962"/>
      <c r="S4" s="962"/>
      <c r="T4" s="88"/>
    </row>
    <row r="5" spans="1:20" ht="8.25" customHeight="1"/>
    <row r="6" spans="1:20">
      <c r="A6" s="89" t="s">
        <v>85</v>
      </c>
      <c r="B6" s="90" t="s">
        <v>437</v>
      </c>
      <c r="C6" s="90"/>
    </row>
    <row r="7" spans="1:20" hidden="1">
      <c r="A7" s="86" t="s">
        <v>2</v>
      </c>
      <c r="B7" s="91" t="s">
        <v>438</v>
      </c>
      <c r="C7" s="91"/>
      <c r="F7" s="1338"/>
      <c r="G7" s="1338"/>
      <c r="H7" s="1338"/>
      <c r="I7" s="1338"/>
      <c r="J7" s="1338"/>
      <c r="K7" s="1338"/>
      <c r="L7" s="1338"/>
      <c r="M7" s="1338"/>
      <c r="N7" s="777"/>
      <c r="O7" s="968"/>
    </row>
    <row r="8" spans="1:20" hidden="1">
      <c r="A8" s="86" t="s">
        <v>3</v>
      </c>
      <c r="B8" s="91" t="s">
        <v>439</v>
      </c>
      <c r="C8" s="91"/>
      <c r="F8" s="1322"/>
      <c r="G8" s="1322"/>
      <c r="H8" s="1322"/>
      <c r="I8" s="1322"/>
      <c r="J8" s="1322"/>
      <c r="K8" s="1322"/>
      <c r="L8" s="1322"/>
      <c r="M8" s="1322"/>
      <c r="N8" s="776"/>
      <c r="O8" s="962"/>
    </row>
    <row r="9" spans="1:20" hidden="1">
      <c r="A9" s="86" t="s">
        <v>4</v>
      </c>
      <c r="B9" s="91" t="s">
        <v>404</v>
      </c>
      <c r="C9" s="91"/>
    </row>
    <row r="10" spans="1:20" ht="8.25" customHeight="1">
      <c r="B10" s="92"/>
      <c r="C10" s="92"/>
    </row>
    <row r="11" spans="1:20">
      <c r="A11" s="93"/>
      <c r="B11" s="94"/>
      <c r="C11" s="2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292" t="s">
        <v>494</v>
      </c>
      <c r="O11" s="1293"/>
    </row>
    <row r="12" spans="1:20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294"/>
      <c r="O12" s="1295"/>
    </row>
    <row r="13" spans="1:20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296"/>
      <c r="O13" s="1297"/>
    </row>
    <row r="14" spans="1:20" ht="12.6" customHeight="1">
      <c r="A14" s="97" t="s">
        <v>281</v>
      </c>
      <c r="B14" s="98"/>
      <c r="C14" s="99"/>
      <c r="D14" s="100"/>
      <c r="E14" s="7"/>
      <c r="F14" s="100"/>
      <c r="G14" s="7"/>
      <c r="H14" s="100"/>
      <c r="I14" s="7"/>
      <c r="J14" s="100"/>
      <c r="K14" s="7"/>
      <c r="L14" s="100"/>
      <c r="M14" s="7"/>
      <c r="N14" s="100"/>
      <c r="O14" s="1035"/>
    </row>
    <row r="15" spans="1:20" ht="12.6" customHeight="1">
      <c r="A15" s="101" t="s">
        <v>262</v>
      </c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  <c r="N15" s="100"/>
      <c r="O15" s="1035"/>
    </row>
    <row r="16" spans="1:20" ht="12.6" customHeight="1">
      <c r="A16" s="101" t="s">
        <v>263</v>
      </c>
      <c r="B16" s="98"/>
      <c r="C16" s="102" t="s">
        <v>114</v>
      </c>
      <c r="D16" s="100" t="s">
        <v>15</v>
      </c>
      <c r="E16" s="7">
        <v>2703564</v>
      </c>
      <c r="F16" s="100" t="s">
        <v>15</v>
      </c>
      <c r="G16" s="7">
        <v>1432830.53</v>
      </c>
      <c r="H16" s="100" t="s">
        <v>15</v>
      </c>
      <c r="I16" s="7">
        <f>K16-G16</f>
        <v>1859753.47</v>
      </c>
      <c r="J16" s="100" t="s">
        <v>15</v>
      </c>
      <c r="K16" s="7">
        <v>3292584</v>
      </c>
      <c r="L16" s="100" t="s">
        <v>15</v>
      </c>
      <c r="M16" s="7">
        <v>3589068</v>
      </c>
      <c r="N16" s="104" t="s">
        <v>15</v>
      </c>
      <c r="O16" s="1036">
        <v>0</v>
      </c>
    </row>
    <row r="17" spans="1:16" ht="12.6" customHeight="1">
      <c r="A17" s="101" t="s">
        <v>264</v>
      </c>
      <c r="B17" s="98"/>
      <c r="C17" s="102" t="s">
        <v>115</v>
      </c>
      <c r="D17" s="100"/>
      <c r="E17" s="7">
        <v>827228.65</v>
      </c>
      <c r="F17" s="100"/>
      <c r="G17" s="7">
        <v>426058.66</v>
      </c>
      <c r="H17" s="100"/>
      <c r="I17" s="7">
        <f t="shared" ref="I17:I36" si="0">K17-G17</f>
        <v>467545.34</v>
      </c>
      <c r="J17" s="100"/>
      <c r="K17" s="7">
        <v>893604</v>
      </c>
      <c r="L17" s="100"/>
      <c r="M17" s="7">
        <v>893568</v>
      </c>
      <c r="N17" s="748"/>
      <c r="O17" s="996">
        <v>0</v>
      </c>
    </row>
    <row r="18" spans="1:16" ht="12.6" customHeight="1">
      <c r="A18" s="101" t="s">
        <v>265</v>
      </c>
      <c r="B18" s="98"/>
      <c r="C18" s="102"/>
      <c r="D18" s="100"/>
      <c r="E18" s="7"/>
      <c r="F18" s="100"/>
      <c r="G18" s="7"/>
      <c r="H18" s="100"/>
      <c r="I18" s="7"/>
      <c r="J18" s="100"/>
      <c r="K18" s="7"/>
      <c r="L18" s="100"/>
      <c r="M18" s="7"/>
      <c r="N18" s="748"/>
      <c r="O18" s="996"/>
      <c r="P18" s="963"/>
    </row>
    <row r="19" spans="1:16" ht="12.6" customHeight="1">
      <c r="A19" s="101" t="s">
        <v>266</v>
      </c>
      <c r="B19" s="98"/>
      <c r="C19" s="102" t="s">
        <v>116</v>
      </c>
      <c r="D19" s="100"/>
      <c r="E19" s="7">
        <v>301818.74</v>
      </c>
      <c r="F19" s="100"/>
      <c r="G19" s="7">
        <v>152815.54999999999</v>
      </c>
      <c r="H19" s="100"/>
      <c r="I19" s="7">
        <f t="shared" si="0"/>
        <v>183184.45</v>
      </c>
      <c r="J19" s="100"/>
      <c r="K19" s="7">
        <v>336000</v>
      </c>
      <c r="L19" s="100"/>
      <c r="M19" s="7">
        <v>360000</v>
      </c>
      <c r="N19" s="748"/>
      <c r="O19" s="996">
        <v>0</v>
      </c>
    </row>
    <row r="20" spans="1:16" ht="12.6" customHeight="1">
      <c r="A20" s="101" t="s">
        <v>267</v>
      </c>
      <c r="B20" s="98"/>
      <c r="C20" s="102" t="s">
        <v>117</v>
      </c>
      <c r="D20" s="100"/>
      <c r="E20" s="7">
        <v>81000</v>
      </c>
      <c r="F20" s="100"/>
      <c r="G20" s="7">
        <v>40500</v>
      </c>
      <c r="H20" s="100"/>
      <c r="I20" s="7">
        <f t="shared" si="0"/>
        <v>40500</v>
      </c>
      <c r="J20" s="100"/>
      <c r="K20" s="7">
        <v>81000</v>
      </c>
      <c r="L20" s="100"/>
      <c r="M20" s="7">
        <v>81000</v>
      </c>
      <c r="N20" s="748"/>
      <c r="O20" s="996">
        <v>0</v>
      </c>
    </row>
    <row r="21" spans="1:16" ht="12.6" customHeight="1">
      <c r="A21" s="101" t="s">
        <v>268</v>
      </c>
      <c r="B21" s="106"/>
      <c r="C21" s="102" t="s">
        <v>118</v>
      </c>
      <c r="D21" s="100"/>
      <c r="E21" s="7">
        <v>81000</v>
      </c>
      <c r="F21" s="100"/>
      <c r="G21" s="7">
        <v>40500</v>
      </c>
      <c r="H21" s="100"/>
      <c r="I21" s="7">
        <f t="shared" si="0"/>
        <v>40500</v>
      </c>
      <c r="J21" s="100"/>
      <c r="K21" s="7">
        <v>81000</v>
      </c>
      <c r="L21" s="100"/>
      <c r="M21" s="7">
        <v>81000</v>
      </c>
      <c r="N21" s="748"/>
      <c r="O21" s="996">
        <v>0</v>
      </c>
    </row>
    <row r="22" spans="1:16" ht="12.6" customHeight="1">
      <c r="A22" s="101" t="s">
        <v>269</v>
      </c>
      <c r="B22" s="106"/>
      <c r="C22" s="102" t="s">
        <v>119</v>
      </c>
      <c r="D22" s="100"/>
      <c r="E22" s="7">
        <v>78000</v>
      </c>
      <c r="F22" s="100"/>
      <c r="G22" s="7">
        <v>78000</v>
      </c>
      <c r="H22" s="100"/>
      <c r="I22" s="7">
        <f t="shared" si="0"/>
        <v>6000</v>
      </c>
      <c r="J22" s="100"/>
      <c r="K22" s="7">
        <v>84000</v>
      </c>
      <c r="L22" s="100"/>
      <c r="M22" s="7">
        <v>90000</v>
      </c>
      <c r="N22" s="748"/>
      <c r="O22" s="996">
        <v>0</v>
      </c>
    </row>
    <row r="23" spans="1:16" ht="12.6" customHeight="1">
      <c r="A23" s="101" t="s">
        <v>270</v>
      </c>
      <c r="B23" s="106"/>
      <c r="C23" s="102" t="s">
        <v>120</v>
      </c>
      <c r="D23" s="100"/>
      <c r="E23" s="7">
        <v>65000</v>
      </c>
      <c r="F23" s="100"/>
      <c r="G23" s="7">
        <v>0</v>
      </c>
      <c r="H23" s="100"/>
      <c r="I23" s="7">
        <f t="shared" si="0"/>
        <v>70000</v>
      </c>
      <c r="J23" s="100"/>
      <c r="K23" s="7">
        <v>70000</v>
      </c>
      <c r="L23" s="100"/>
      <c r="M23" s="7">
        <v>75000</v>
      </c>
      <c r="N23" s="748"/>
      <c r="O23" s="996">
        <v>0</v>
      </c>
    </row>
    <row r="24" spans="1:16" ht="12.6" customHeight="1">
      <c r="A24" s="101" t="s">
        <v>271</v>
      </c>
      <c r="B24" s="98"/>
      <c r="C24" s="102" t="s">
        <v>121</v>
      </c>
      <c r="D24" s="100"/>
      <c r="E24" s="7">
        <v>297057.5</v>
      </c>
      <c r="F24" s="100"/>
      <c r="G24" s="7">
        <v>0</v>
      </c>
      <c r="H24" s="100"/>
      <c r="I24" s="7">
        <f t="shared" si="0"/>
        <v>348849</v>
      </c>
      <c r="J24" s="100"/>
      <c r="K24" s="7">
        <v>348849</v>
      </c>
      <c r="L24" s="100"/>
      <c r="M24" s="7">
        <v>373553</v>
      </c>
      <c r="N24" s="748"/>
      <c r="O24" s="996">
        <v>0</v>
      </c>
    </row>
    <row r="25" spans="1:16" ht="12.6" customHeight="1">
      <c r="A25" s="101" t="s">
        <v>278</v>
      </c>
      <c r="B25" s="108"/>
      <c r="C25" s="102" t="s">
        <v>258</v>
      </c>
      <c r="D25" s="100"/>
      <c r="E25" s="7"/>
      <c r="F25" s="100"/>
      <c r="G25" s="7"/>
      <c r="H25" s="100"/>
      <c r="I25" s="7"/>
      <c r="J25" s="100"/>
      <c r="K25" s="7"/>
      <c r="L25" s="100"/>
      <c r="M25" s="7"/>
      <c r="N25" s="748"/>
      <c r="O25" s="996"/>
      <c r="P25" s="963"/>
    </row>
    <row r="26" spans="1:16" ht="12.6" customHeight="1">
      <c r="A26" s="101" t="s">
        <v>279</v>
      </c>
      <c r="B26" s="108"/>
      <c r="C26" s="102"/>
      <c r="D26" s="100"/>
      <c r="E26" s="7">
        <v>269177.68</v>
      </c>
      <c r="F26" s="100"/>
      <c r="G26" s="7">
        <v>316916.40000000002</v>
      </c>
      <c r="H26" s="100"/>
      <c r="I26" s="7">
        <f>K26-G26</f>
        <v>31932.599999999977</v>
      </c>
      <c r="J26" s="100"/>
      <c r="K26" s="7">
        <v>348849</v>
      </c>
      <c r="L26" s="100"/>
      <c r="M26" s="7">
        <v>373553</v>
      </c>
      <c r="N26" s="748"/>
      <c r="O26" s="996">
        <v>0</v>
      </c>
      <c r="P26" s="963"/>
    </row>
    <row r="27" spans="1:16" ht="12.6" customHeight="1">
      <c r="A27" s="101" t="s">
        <v>280</v>
      </c>
      <c r="B27" s="108"/>
      <c r="C27" s="102"/>
      <c r="D27" s="100"/>
      <c r="E27" s="7">
        <v>0</v>
      </c>
      <c r="F27" s="100"/>
      <c r="G27" s="7">
        <v>39000</v>
      </c>
      <c r="H27" s="100"/>
      <c r="I27" s="7">
        <f>K27-G27</f>
        <v>3000</v>
      </c>
      <c r="J27" s="100"/>
      <c r="K27" s="7">
        <v>42000</v>
      </c>
      <c r="L27" s="100"/>
      <c r="M27" s="7">
        <v>0</v>
      </c>
      <c r="N27" s="748"/>
      <c r="O27" s="996">
        <v>0</v>
      </c>
      <c r="P27" s="963"/>
    </row>
    <row r="28" spans="1:16" ht="12.6" customHeight="1">
      <c r="A28" s="101" t="s">
        <v>272</v>
      </c>
      <c r="B28" s="98"/>
      <c r="C28" s="102" t="s">
        <v>122</v>
      </c>
      <c r="D28" s="100"/>
      <c r="E28" s="7">
        <v>422320.41</v>
      </c>
      <c r="F28" s="100"/>
      <c r="G28" s="7">
        <v>225028.08</v>
      </c>
      <c r="H28" s="100"/>
      <c r="I28" s="7">
        <f t="shared" si="0"/>
        <v>277314.92000000004</v>
      </c>
      <c r="J28" s="100"/>
      <c r="K28" s="7">
        <v>502343</v>
      </c>
      <c r="L28" s="100"/>
      <c r="M28" s="7">
        <v>537917</v>
      </c>
      <c r="N28" s="748"/>
      <c r="O28" s="996">
        <v>0</v>
      </c>
    </row>
    <row r="29" spans="1:16" ht="12.6" customHeight="1">
      <c r="A29" s="101" t="s">
        <v>273</v>
      </c>
      <c r="B29" s="98"/>
      <c r="C29" s="102" t="s">
        <v>123</v>
      </c>
      <c r="D29" s="100"/>
      <c r="E29" s="7">
        <v>70131.12</v>
      </c>
      <c r="F29" s="100"/>
      <c r="G29" s="7">
        <v>12500.32</v>
      </c>
      <c r="H29" s="100"/>
      <c r="I29" s="7">
        <f t="shared" si="0"/>
        <v>71283.679999999993</v>
      </c>
      <c r="J29" s="100"/>
      <c r="K29" s="7">
        <v>83784</v>
      </c>
      <c r="L29" s="100"/>
      <c r="M29" s="7">
        <v>18000</v>
      </c>
      <c r="N29" s="748"/>
      <c r="O29" s="996">
        <v>0</v>
      </c>
    </row>
    <row r="30" spans="1:16" ht="12.6" customHeight="1">
      <c r="A30" s="101" t="s">
        <v>274</v>
      </c>
      <c r="B30" s="98"/>
      <c r="C30" s="102" t="s">
        <v>124</v>
      </c>
      <c r="D30" s="100"/>
      <c r="E30" s="7">
        <v>47523.66</v>
      </c>
      <c r="F30" s="100"/>
      <c r="G30" s="7">
        <v>27385.48</v>
      </c>
      <c r="H30" s="100"/>
      <c r="I30" s="7">
        <f t="shared" si="0"/>
        <v>54550.520000000004</v>
      </c>
      <c r="J30" s="100"/>
      <c r="K30" s="7">
        <v>81936</v>
      </c>
      <c r="L30" s="100"/>
      <c r="M30" s="7">
        <v>100932</v>
      </c>
      <c r="N30" s="748"/>
      <c r="O30" s="996">
        <v>0</v>
      </c>
    </row>
    <row r="31" spans="1:16" ht="12.6" customHeight="1">
      <c r="A31" s="101" t="s">
        <v>275</v>
      </c>
      <c r="B31" s="98"/>
      <c r="C31" s="102" t="s">
        <v>125</v>
      </c>
      <c r="D31" s="100"/>
      <c r="E31" s="7">
        <v>15200</v>
      </c>
      <c r="F31" s="100"/>
      <c r="G31" s="7">
        <v>7800</v>
      </c>
      <c r="H31" s="100"/>
      <c r="I31" s="7">
        <f t="shared" si="0"/>
        <v>9000</v>
      </c>
      <c r="J31" s="100"/>
      <c r="K31" s="7">
        <v>16800</v>
      </c>
      <c r="L31" s="100"/>
      <c r="M31" s="7">
        <v>18000</v>
      </c>
      <c r="N31" s="748"/>
      <c r="O31" s="996">
        <v>0</v>
      </c>
    </row>
    <row r="32" spans="1:16" ht="12.6" customHeight="1">
      <c r="A32" s="101" t="s">
        <v>276</v>
      </c>
      <c r="B32" s="108"/>
      <c r="C32" s="102" t="s">
        <v>161</v>
      </c>
      <c r="D32" s="100"/>
      <c r="E32" s="7"/>
      <c r="F32" s="100"/>
      <c r="G32" s="7"/>
      <c r="H32" s="100"/>
      <c r="I32" s="7"/>
      <c r="J32" s="100"/>
      <c r="K32" s="7"/>
      <c r="L32" s="100"/>
      <c r="M32" s="7"/>
      <c r="N32" s="748"/>
      <c r="O32" s="996"/>
      <c r="P32" s="963"/>
    </row>
    <row r="33" spans="1:16" ht="12.6" customHeight="1">
      <c r="A33" s="101" t="s">
        <v>292</v>
      </c>
      <c r="B33" s="108"/>
      <c r="C33" s="102"/>
      <c r="D33" s="100"/>
      <c r="E33" s="7">
        <v>0</v>
      </c>
      <c r="F33" s="100"/>
      <c r="G33" s="7">
        <v>0</v>
      </c>
      <c r="H33" s="100"/>
      <c r="I33" s="7">
        <f>K33-G33</f>
        <v>0</v>
      </c>
      <c r="J33" s="100"/>
      <c r="K33" s="7">
        <v>0</v>
      </c>
      <c r="L33" s="100"/>
      <c r="M33" s="7">
        <v>218600</v>
      </c>
      <c r="N33" s="748"/>
      <c r="O33" s="996">
        <v>0</v>
      </c>
    </row>
    <row r="34" spans="1:16" ht="12.6" customHeight="1">
      <c r="A34" s="101" t="s">
        <v>260</v>
      </c>
      <c r="B34" s="108"/>
      <c r="C34" s="102"/>
      <c r="D34" s="100"/>
      <c r="E34" s="7">
        <v>65000</v>
      </c>
      <c r="F34" s="100"/>
      <c r="G34" s="7">
        <v>0</v>
      </c>
      <c r="H34" s="100"/>
      <c r="I34" s="7">
        <f t="shared" ref="I34" si="1">K34-G34</f>
        <v>70000</v>
      </c>
      <c r="J34" s="100"/>
      <c r="K34" s="7">
        <v>70000</v>
      </c>
      <c r="L34" s="100"/>
      <c r="M34" s="7">
        <v>75000</v>
      </c>
      <c r="N34" s="748"/>
      <c r="O34" s="996">
        <v>0</v>
      </c>
      <c r="P34" s="963"/>
    </row>
    <row r="35" spans="1:16" ht="12.6" customHeight="1">
      <c r="A35" s="101" t="s">
        <v>764</v>
      </c>
      <c r="B35" s="108"/>
      <c r="C35" s="102"/>
      <c r="D35" s="100"/>
      <c r="E35" s="7">
        <v>0</v>
      </c>
      <c r="F35" s="100"/>
      <c r="G35" s="7">
        <v>0</v>
      </c>
      <c r="H35" s="100"/>
      <c r="I35" s="7">
        <f t="shared" si="0"/>
        <v>184932</v>
      </c>
      <c r="J35" s="100"/>
      <c r="K35" s="7">
        <v>184932</v>
      </c>
      <c r="L35" s="100"/>
      <c r="M35" s="7">
        <v>0</v>
      </c>
      <c r="N35" s="748"/>
      <c r="O35" s="996">
        <v>0</v>
      </c>
      <c r="P35" s="963"/>
    </row>
    <row r="36" spans="1:16" ht="12.6" customHeight="1">
      <c r="A36" s="101" t="s">
        <v>259</v>
      </c>
      <c r="B36" s="108"/>
      <c r="C36" s="102"/>
      <c r="D36" s="100"/>
      <c r="E36" s="105">
        <v>5000</v>
      </c>
      <c r="F36" s="100"/>
      <c r="G36" s="105">
        <v>5000</v>
      </c>
      <c r="H36" s="100"/>
      <c r="I36" s="7">
        <f t="shared" si="0"/>
        <v>0</v>
      </c>
      <c r="J36" s="100"/>
      <c r="K36" s="105">
        <v>5000</v>
      </c>
      <c r="L36" s="104"/>
      <c r="M36" s="105">
        <v>5000</v>
      </c>
      <c r="N36" s="748"/>
      <c r="O36" s="996">
        <v>0</v>
      </c>
      <c r="P36" s="963"/>
    </row>
    <row r="37" spans="1:16" ht="12.6" customHeight="1">
      <c r="A37" s="1325" t="s">
        <v>14</v>
      </c>
      <c r="B37" s="1326"/>
      <c r="C37" s="102"/>
      <c r="D37" s="144" t="s">
        <v>15</v>
      </c>
      <c r="E37" s="174">
        <f>SUM(E16:E36)</f>
        <v>5329021.76</v>
      </c>
      <c r="F37" s="144" t="s">
        <v>15</v>
      </c>
      <c r="G37" s="174">
        <f>SUM(G16:G36)</f>
        <v>2804335.02</v>
      </c>
      <c r="H37" s="144" t="s">
        <v>15</v>
      </c>
      <c r="I37" s="174">
        <f>SUM(I16:I36)</f>
        <v>3718345.9800000004</v>
      </c>
      <c r="J37" s="144" t="s">
        <v>15</v>
      </c>
      <c r="K37" s="174">
        <f>SUM(K16:K36)</f>
        <v>6522681</v>
      </c>
      <c r="L37" s="144" t="s">
        <v>15</v>
      </c>
      <c r="M37" s="174">
        <f>SUM(M16:M36)</f>
        <v>6890191</v>
      </c>
      <c r="N37" s="144" t="s">
        <v>15</v>
      </c>
      <c r="O37" s="1037">
        <f>SUM(O16:O36)</f>
        <v>0</v>
      </c>
    </row>
    <row r="38" spans="1:16" ht="12.6" customHeight="1">
      <c r="A38" s="97" t="s">
        <v>282</v>
      </c>
      <c r="B38" s="98"/>
      <c r="C38" s="102"/>
      <c r="D38" s="120"/>
      <c r="E38" s="117"/>
      <c r="F38" s="120"/>
      <c r="G38" s="117"/>
      <c r="H38" s="120"/>
      <c r="I38" s="117"/>
      <c r="J38" s="120"/>
      <c r="K38" s="117"/>
      <c r="L38" s="120"/>
      <c r="M38" s="117"/>
      <c r="N38" s="120"/>
      <c r="O38" s="970"/>
    </row>
    <row r="39" spans="1:16" ht="12.6" customHeight="1">
      <c r="A39" s="101" t="s">
        <v>41</v>
      </c>
      <c r="B39" s="98"/>
      <c r="C39" s="102" t="s">
        <v>126</v>
      </c>
      <c r="D39" s="100" t="s">
        <v>15</v>
      </c>
      <c r="E39" s="7">
        <v>131843.82</v>
      </c>
      <c r="F39" s="100" t="s">
        <v>15</v>
      </c>
      <c r="G39" s="7">
        <v>228060</v>
      </c>
      <c r="H39" s="100" t="s">
        <v>15</v>
      </c>
      <c r="I39" s="7">
        <f>K39-G39</f>
        <v>423540</v>
      </c>
      <c r="J39" s="100" t="s">
        <v>15</v>
      </c>
      <c r="K39" s="7">
        <v>651600</v>
      </c>
      <c r="L39" s="100" t="s">
        <v>15</v>
      </c>
      <c r="M39" s="7">
        <v>401600</v>
      </c>
      <c r="N39" s="104" t="s">
        <v>15</v>
      </c>
      <c r="O39" s="1036">
        <f>M39-K39</f>
        <v>-250000</v>
      </c>
      <c r="P39" s="963">
        <f>M39-K39</f>
        <v>-250000</v>
      </c>
    </row>
    <row r="40" spans="1:16" ht="12.6" customHeight="1">
      <c r="A40" s="101" t="s">
        <v>42</v>
      </c>
      <c r="B40" s="98"/>
      <c r="C40" s="102" t="s">
        <v>127</v>
      </c>
      <c r="D40" s="100"/>
      <c r="E40" s="7">
        <v>60400</v>
      </c>
      <c r="F40" s="100"/>
      <c r="G40" s="7">
        <v>92600</v>
      </c>
      <c r="H40" s="100"/>
      <c r="I40" s="7">
        <f t="shared" ref="I40:I53" si="2">K40-G40</f>
        <v>141400</v>
      </c>
      <c r="J40" s="100"/>
      <c r="K40" s="7">
        <v>234000</v>
      </c>
      <c r="L40" s="100"/>
      <c r="M40" s="7">
        <v>134000</v>
      </c>
      <c r="N40" s="748"/>
      <c r="O40" s="1036">
        <f t="shared" ref="O40:O51" si="3">M40-K40</f>
        <v>-100000</v>
      </c>
      <c r="P40" s="963">
        <f t="shared" ref="P40:P53" si="4">M40-K40</f>
        <v>-100000</v>
      </c>
    </row>
    <row r="41" spans="1:16" ht="12.6" customHeight="1">
      <c r="A41" s="101" t="s">
        <v>28</v>
      </c>
      <c r="B41" s="98"/>
      <c r="C41" s="102" t="s">
        <v>128</v>
      </c>
      <c r="D41" s="100"/>
      <c r="E41" s="7">
        <v>90949.9</v>
      </c>
      <c r="F41" s="100"/>
      <c r="G41" s="7">
        <v>6179.5</v>
      </c>
      <c r="H41" s="100"/>
      <c r="I41" s="7">
        <f t="shared" si="2"/>
        <v>198820.5</v>
      </c>
      <c r="J41" s="100"/>
      <c r="K41" s="7">
        <v>205000</v>
      </c>
      <c r="L41" s="100"/>
      <c r="M41" s="7">
        <v>105000</v>
      </c>
      <c r="N41" s="748"/>
      <c r="O41" s="1036">
        <f t="shared" si="3"/>
        <v>-100000</v>
      </c>
      <c r="P41" s="963">
        <f t="shared" si="4"/>
        <v>-100000</v>
      </c>
    </row>
    <row r="42" spans="1:16" ht="12.6" customHeight="1">
      <c r="A42" s="101" t="s">
        <v>130</v>
      </c>
      <c r="B42" s="98"/>
      <c r="C42" s="102" t="s">
        <v>129</v>
      </c>
      <c r="D42" s="100"/>
      <c r="E42" s="7">
        <v>112875</v>
      </c>
      <c r="F42" s="100"/>
      <c r="G42" s="7">
        <v>47360.6</v>
      </c>
      <c r="H42" s="100"/>
      <c r="I42" s="7">
        <f t="shared" si="2"/>
        <v>167639.4</v>
      </c>
      <c r="J42" s="100"/>
      <c r="K42" s="7">
        <v>215000</v>
      </c>
      <c r="L42" s="100"/>
      <c r="M42" s="7">
        <v>215000</v>
      </c>
      <c r="N42" s="748"/>
      <c r="O42" s="1036">
        <f t="shared" si="3"/>
        <v>0</v>
      </c>
      <c r="P42" s="963">
        <f t="shared" si="4"/>
        <v>0</v>
      </c>
    </row>
    <row r="43" spans="1:16" ht="12.6" customHeight="1">
      <c r="A43" s="101" t="s">
        <v>497</v>
      </c>
      <c r="B43" s="98"/>
      <c r="C43" s="102" t="s">
        <v>174</v>
      </c>
      <c r="D43" s="100"/>
      <c r="E43" s="7">
        <v>30000</v>
      </c>
      <c r="F43" s="100"/>
      <c r="G43" s="7">
        <v>19380.02</v>
      </c>
      <c r="H43" s="100"/>
      <c r="I43" s="7">
        <f t="shared" si="2"/>
        <v>30619.98</v>
      </c>
      <c r="J43" s="100"/>
      <c r="K43" s="7">
        <v>50000</v>
      </c>
      <c r="L43" s="100"/>
      <c r="M43" s="7">
        <v>50000</v>
      </c>
      <c r="N43" s="748"/>
      <c r="O43" s="1036">
        <f t="shared" si="3"/>
        <v>0</v>
      </c>
      <c r="P43" s="963">
        <f t="shared" si="4"/>
        <v>0</v>
      </c>
    </row>
    <row r="44" spans="1:16" ht="12.6" customHeight="1">
      <c r="A44" s="101" t="s">
        <v>132</v>
      </c>
      <c r="B44" s="98"/>
      <c r="C44" s="102" t="s">
        <v>131</v>
      </c>
      <c r="D44" s="100"/>
      <c r="E44" s="7">
        <v>70</v>
      </c>
      <c r="F44" s="100"/>
      <c r="G44" s="7">
        <v>205</v>
      </c>
      <c r="H44" s="100"/>
      <c r="I44" s="7">
        <f t="shared" si="2"/>
        <v>2295</v>
      </c>
      <c r="J44" s="100"/>
      <c r="K44" s="7">
        <v>2500</v>
      </c>
      <c r="L44" s="100"/>
      <c r="M44" s="7">
        <v>2500</v>
      </c>
      <c r="N44" s="748"/>
      <c r="O44" s="1036">
        <f t="shared" si="3"/>
        <v>0</v>
      </c>
      <c r="P44" s="963">
        <f t="shared" si="4"/>
        <v>0</v>
      </c>
    </row>
    <row r="45" spans="1:16" ht="12.6" customHeight="1">
      <c r="A45" s="101" t="s">
        <v>163</v>
      </c>
      <c r="B45" s="98"/>
      <c r="C45" s="102" t="s">
        <v>133</v>
      </c>
      <c r="D45" s="100"/>
      <c r="E45" s="7">
        <v>19747.13</v>
      </c>
      <c r="F45" s="100"/>
      <c r="G45" s="7">
        <v>12104.85</v>
      </c>
      <c r="H45" s="100"/>
      <c r="I45" s="7">
        <f t="shared" si="2"/>
        <v>27895.15</v>
      </c>
      <c r="J45" s="100"/>
      <c r="K45" s="7">
        <v>40000</v>
      </c>
      <c r="L45" s="100"/>
      <c r="M45" s="7">
        <v>40000</v>
      </c>
      <c r="N45" s="748"/>
      <c r="O45" s="1036">
        <f t="shared" si="3"/>
        <v>0</v>
      </c>
      <c r="P45" s="963">
        <f t="shared" si="4"/>
        <v>0</v>
      </c>
    </row>
    <row r="46" spans="1:16" ht="12.6" customHeight="1">
      <c r="A46" s="101" t="s">
        <v>135</v>
      </c>
      <c r="B46" s="98"/>
      <c r="C46" s="102" t="s">
        <v>134</v>
      </c>
      <c r="D46" s="100"/>
      <c r="E46" s="7">
        <v>35070.19</v>
      </c>
      <c r="F46" s="100"/>
      <c r="G46" s="7">
        <v>14133.41</v>
      </c>
      <c r="H46" s="100"/>
      <c r="I46" s="7">
        <f t="shared" si="2"/>
        <v>21866.59</v>
      </c>
      <c r="J46" s="100"/>
      <c r="K46" s="7">
        <v>36000</v>
      </c>
      <c r="L46" s="100"/>
      <c r="M46" s="7">
        <v>36000</v>
      </c>
      <c r="N46" s="748"/>
      <c r="O46" s="1036">
        <f t="shared" si="3"/>
        <v>0</v>
      </c>
      <c r="P46" s="963">
        <f t="shared" si="4"/>
        <v>0</v>
      </c>
    </row>
    <row r="47" spans="1:16" ht="12.6" customHeight="1">
      <c r="A47" s="101" t="s">
        <v>142</v>
      </c>
      <c r="B47" s="98"/>
      <c r="C47" s="118" t="s">
        <v>141</v>
      </c>
      <c r="D47" s="100"/>
      <c r="E47" s="7">
        <v>28750</v>
      </c>
      <c r="F47" s="100"/>
      <c r="G47" s="7">
        <v>1350</v>
      </c>
      <c r="H47" s="100"/>
      <c r="I47" s="7">
        <f t="shared" si="2"/>
        <v>53650</v>
      </c>
      <c r="J47" s="100"/>
      <c r="K47" s="7">
        <v>55000</v>
      </c>
      <c r="L47" s="100"/>
      <c r="M47" s="7">
        <v>55000</v>
      </c>
      <c r="N47" s="748"/>
      <c r="O47" s="1036">
        <f t="shared" si="3"/>
        <v>0</v>
      </c>
      <c r="P47" s="963">
        <f t="shared" si="4"/>
        <v>0</v>
      </c>
    </row>
    <row r="48" spans="1:16" ht="12.6" customHeight="1">
      <c r="A48" s="101" t="s">
        <v>145</v>
      </c>
      <c r="B48" s="98"/>
      <c r="C48" s="102" t="s">
        <v>144</v>
      </c>
      <c r="D48" s="100"/>
      <c r="E48" s="7">
        <v>52548</v>
      </c>
      <c r="F48" s="100"/>
      <c r="G48" s="7">
        <v>14520</v>
      </c>
      <c r="H48" s="100"/>
      <c r="I48" s="7">
        <f t="shared" si="2"/>
        <v>118480</v>
      </c>
      <c r="J48" s="100"/>
      <c r="K48" s="7">
        <v>133000</v>
      </c>
      <c r="L48" s="100"/>
      <c r="M48" s="7">
        <v>100000</v>
      </c>
      <c r="N48" s="748"/>
      <c r="O48" s="1036">
        <f t="shared" si="3"/>
        <v>-33000</v>
      </c>
      <c r="P48" s="963">
        <f t="shared" si="4"/>
        <v>-33000</v>
      </c>
    </row>
    <row r="49" spans="1:17" ht="12" customHeight="1">
      <c r="A49" s="101" t="s">
        <v>138</v>
      </c>
      <c r="B49" s="98"/>
      <c r="C49" s="102" t="s">
        <v>137</v>
      </c>
      <c r="D49" s="100"/>
      <c r="E49" s="7">
        <v>11750</v>
      </c>
      <c r="F49" s="111"/>
      <c r="G49" s="7">
        <v>0</v>
      </c>
      <c r="H49" s="111"/>
      <c r="I49" s="7">
        <f t="shared" si="2"/>
        <v>22000</v>
      </c>
      <c r="J49" s="111"/>
      <c r="K49" s="7">
        <v>22000</v>
      </c>
      <c r="L49" s="100"/>
      <c r="M49" s="7">
        <v>22000</v>
      </c>
      <c r="N49" s="748"/>
      <c r="O49" s="1036">
        <f t="shared" si="3"/>
        <v>0</v>
      </c>
      <c r="P49" s="963">
        <f t="shared" si="4"/>
        <v>0</v>
      </c>
      <c r="Q49" s="963">
        <f>M49*0.1</f>
        <v>2200</v>
      </c>
    </row>
    <row r="50" spans="1:17" ht="12.6" customHeight="1">
      <c r="A50" s="101" t="s">
        <v>33</v>
      </c>
      <c r="B50" s="119"/>
      <c r="C50" s="102" t="s">
        <v>148</v>
      </c>
      <c r="D50" s="100"/>
      <c r="E50" s="7"/>
      <c r="F50" s="100"/>
      <c r="G50" s="7"/>
      <c r="H50" s="100"/>
      <c r="I50" s="7">
        <f t="shared" si="2"/>
        <v>0</v>
      </c>
      <c r="J50" s="100"/>
      <c r="K50" s="7">
        <v>0</v>
      </c>
      <c r="L50" s="100"/>
      <c r="M50" s="7"/>
      <c r="N50" s="748"/>
      <c r="O50" s="996">
        <v>0</v>
      </c>
      <c r="P50" s="963">
        <f t="shared" si="4"/>
        <v>0</v>
      </c>
    </row>
    <row r="51" spans="1:17" ht="12.6" customHeight="1">
      <c r="A51" s="101"/>
      <c r="B51" s="7" t="s">
        <v>342</v>
      </c>
      <c r="C51" s="102"/>
      <c r="D51" s="100"/>
      <c r="E51" s="7">
        <v>1466489.1</v>
      </c>
      <c r="F51" s="100"/>
      <c r="G51" s="7">
        <v>811243.66</v>
      </c>
      <c r="H51" s="100"/>
      <c r="I51" s="7">
        <f t="shared" si="2"/>
        <v>1017856.34</v>
      </c>
      <c r="J51" s="100"/>
      <c r="K51" s="7">
        <v>1829100</v>
      </c>
      <c r="L51" s="100"/>
      <c r="M51" s="7">
        <v>2054100</v>
      </c>
      <c r="N51" s="748"/>
      <c r="O51" s="1036">
        <f t="shared" si="3"/>
        <v>225000</v>
      </c>
      <c r="P51" s="963" t="s">
        <v>1018</v>
      </c>
    </row>
    <row r="52" spans="1:17" ht="12.6" customHeight="1">
      <c r="A52" s="101"/>
      <c r="B52" s="7" t="s">
        <v>1117</v>
      </c>
      <c r="C52" s="102"/>
      <c r="D52" s="100"/>
      <c r="E52" s="157">
        <v>0</v>
      </c>
      <c r="F52" s="100"/>
      <c r="G52" s="157">
        <v>0</v>
      </c>
      <c r="H52" s="100"/>
      <c r="I52" s="7">
        <f t="shared" si="2"/>
        <v>0</v>
      </c>
      <c r="J52" s="100"/>
      <c r="K52" s="7">
        <v>0</v>
      </c>
      <c r="L52" s="100"/>
      <c r="M52" s="7">
        <v>0</v>
      </c>
      <c r="N52" s="748"/>
      <c r="O52" s="996">
        <v>0</v>
      </c>
      <c r="P52" s="963">
        <f t="shared" si="4"/>
        <v>0</v>
      </c>
    </row>
    <row r="53" spans="1:17" ht="12.6" customHeight="1">
      <c r="A53" s="101"/>
      <c r="B53" s="7" t="s">
        <v>743</v>
      </c>
      <c r="C53" s="102"/>
      <c r="D53" s="100"/>
      <c r="E53" s="157">
        <v>21696</v>
      </c>
      <c r="F53" s="100"/>
      <c r="G53" s="157">
        <v>18000</v>
      </c>
      <c r="H53" s="100"/>
      <c r="I53" s="7">
        <f t="shared" si="2"/>
        <v>27000</v>
      </c>
      <c r="J53" s="100"/>
      <c r="K53" s="105">
        <v>45000</v>
      </c>
      <c r="L53" s="104"/>
      <c r="M53" s="105">
        <v>45000</v>
      </c>
      <c r="N53" s="748"/>
      <c r="O53" s="1036">
        <f t="shared" ref="O53" si="5">M53-K53</f>
        <v>0</v>
      </c>
      <c r="P53" s="963">
        <f t="shared" si="4"/>
        <v>0</v>
      </c>
    </row>
    <row r="54" spans="1:17" ht="12.6" customHeight="1">
      <c r="A54" s="1325" t="s">
        <v>13</v>
      </c>
      <c r="B54" s="1326"/>
      <c r="C54" s="102"/>
      <c r="D54" s="109" t="s">
        <v>15</v>
      </c>
      <c r="E54" s="110">
        <f>SUM(E39:E53)</f>
        <v>2062189.1400000001</v>
      </c>
      <c r="F54" s="109" t="s">
        <v>15</v>
      </c>
      <c r="G54" s="110">
        <f>SUM(G39:G53)</f>
        <v>1265137.04</v>
      </c>
      <c r="H54" s="109" t="s">
        <v>15</v>
      </c>
      <c r="I54" s="110">
        <f>SUM(I39:I53)</f>
        <v>2253062.96</v>
      </c>
      <c r="J54" s="109" t="s">
        <v>15</v>
      </c>
      <c r="K54" s="110">
        <f>SUM(K39:K53)</f>
        <v>3518200</v>
      </c>
      <c r="L54" s="109" t="s">
        <v>15</v>
      </c>
      <c r="M54" s="110">
        <f>SUM(M39:M53)</f>
        <v>3260200</v>
      </c>
      <c r="N54" s="109" t="s">
        <v>15</v>
      </c>
      <c r="O54" s="1033">
        <f>SUM(O39:O53)</f>
        <v>-258000</v>
      </c>
      <c r="P54" s="1033">
        <f>SUM(P39:P53)</f>
        <v>-483000</v>
      </c>
    </row>
    <row r="55" spans="1:17" ht="12.6" customHeight="1">
      <c r="A55" s="121" t="s">
        <v>283</v>
      </c>
      <c r="B55" s="514"/>
      <c r="C55" s="102"/>
      <c r="D55" s="122"/>
      <c r="E55" s="123"/>
      <c r="F55" s="122"/>
      <c r="G55" s="123"/>
      <c r="H55" s="122"/>
      <c r="I55" s="123"/>
      <c r="J55" s="122"/>
      <c r="K55" s="123"/>
      <c r="L55" s="122"/>
      <c r="M55" s="123"/>
      <c r="N55" s="122"/>
      <c r="O55" s="1040"/>
    </row>
    <row r="56" spans="1:17" ht="12.6" customHeight="1">
      <c r="A56" s="124" t="s">
        <v>51</v>
      </c>
      <c r="B56" s="295"/>
      <c r="C56" s="102" t="s">
        <v>149</v>
      </c>
      <c r="D56" s="100" t="s">
        <v>15</v>
      </c>
      <c r="E56" s="7"/>
      <c r="F56" s="100" t="s">
        <v>15</v>
      </c>
      <c r="G56" s="7"/>
      <c r="H56" s="100" t="s">
        <v>15</v>
      </c>
      <c r="I56" s="7">
        <f t="shared" ref="I56:I64" si="6">K56-G56</f>
        <v>0</v>
      </c>
      <c r="J56" s="100" t="s">
        <v>15</v>
      </c>
      <c r="K56" s="7">
        <v>0</v>
      </c>
      <c r="L56" s="100" t="s">
        <v>15</v>
      </c>
      <c r="M56" s="7"/>
      <c r="N56" s="104" t="s">
        <v>15</v>
      </c>
      <c r="O56" s="1036">
        <v>0</v>
      </c>
      <c r="P56" s="1068">
        <v>0</v>
      </c>
    </row>
    <row r="57" spans="1:17" ht="12.6" customHeight="1">
      <c r="A57" s="124" t="s">
        <v>757</v>
      </c>
      <c r="B57" s="351"/>
      <c r="C57" s="102"/>
      <c r="D57" s="100"/>
      <c r="E57" s="7"/>
      <c r="F57" s="100"/>
      <c r="G57" s="7">
        <v>200000</v>
      </c>
      <c r="H57" s="100"/>
      <c r="I57" s="7">
        <f t="shared" si="6"/>
        <v>0</v>
      </c>
      <c r="J57" s="100"/>
      <c r="K57" s="7">
        <v>200000</v>
      </c>
      <c r="L57" s="100"/>
      <c r="M57" s="7"/>
      <c r="N57" s="748"/>
      <c r="O57" s="996">
        <v>0</v>
      </c>
      <c r="P57" s="1068"/>
    </row>
    <row r="58" spans="1:17" ht="12.6" customHeight="1">
      <c r="A58" s="124" t="s">
        <v>152</v>
      </c>
      <c r="B58" s="514"/>
      <c r="C58" s="102" t="s">
        <v>150</v>
      </c>
      <c r="D58" s="100"/>
      <c r="E58" s="7"/>
      <c r="F58" s="100"/>
      <c r="G58" s="7"/>
      <c r="H58" s="100"/>
      <c r="I58" s="7">
        <f t="shared" si="6"/>
        <v>0</v>
      </c>
      <c r="J58" s="100"/>
      <c r="K58" s="7">
        <v>0</v>
      </c>
      <c r="L58" s="100"/>
      <c r="M58" s="7"/>
      <c r="N58" s="748"/>
      <c r="O58" s="996">
        <v>0</v>
      </c>
      <c r="P58" s="1068">
        <v>0</v>
      </c>
    </row>
    <row r="59" spans="1:17" ht="12.6" customHeight="1">
      <c r="A59" s="124" t="s">
        <v>153</v>
      </c>
      <c r="B59" s="772"/>
      <c r="C59" s="102" t="s">
        <v>151</v>
      </c>
      <c r="D59" s="100"/>
      <c r="E59" s="7"/>
      <c r="F59" s="100"/>
      <c r="G59" s="7"/>
      <c r="H59" s="100"/>
      <c r="I59" s="7">
        <f t="shared" si="6"/>
        <v>0</v>
      </c>
      <c r="J59" s="100"/>
      <c r="K59" s="7">
        <v>0</v>
      </c>
      <c r="L59" s="100"/>
      <c r="M59" s="7"/>
      <c r="N59" s="748"/>
      <c r="O59" s="996">
        <v>0</v>
      </c>
      <c r="P59" s="1068">
        <v>0</v>
      </c>
    </row>
    <row r="60" spans="1:17" ht="12.6" customHeight="1">
      <c r="A60" s="124" t="s">
        <v>393</v>
      </c>
      <c r="B60" s="829"/>
      <c r="C60" s="102"/>
      <c r="D60" s="100"/>
      <c r="E60" s="7">
        <v>30000</v>
      </c>
      <c r="F60" s="100"/>
      <c r="G60" s="7">
        <v>0</v>
      </c>
      <c r="H60" s="100"/>
      <c r="I60" s="7">
        <f t="shared" si="6"/>
        <v>0</v>
      </c>
      <c r="J60" s="100"/>
      <c r="K60" s="7">
        <v>0</v>
      </c>
      <c r="L60" s="100"/>
      <c r="M60" s="7"/>
      <c r="N60" s="748"/>
      <c r="O60" s="996">
        <v>0</v>
      </c>
      <c r="P60" s="1068">
        <v>0</v>
      </c>
    </row>
    <row r="61" spans="1:17" ht="12.6" customHeight="1">
      <c r="A61" s="124" t="s">
        <v>739</v>
      </c>
      <c r="B61" s="295"/>
      <c r="C61" s="102"/>
      <c r="D61" s="100"/>
      <c r="E61" s="7">
        <v>95995</v>
      </c>
      <c r="F61" s="100"/>
      <c r="G61" s="7">
        <v>0</v>
      </c>
      <c r="H61" s="100"/>
      <c r="I61" s="7">
        <f t="shared" si="6"/>
        <v>0</v>
      </c>
      <c r="J61" s="100"/>
      <c r="K61" s="7">
        <v>0</v>
      </c>
      <c r="L61" s="100"/>
      <c r="M61" s="7"/>
      <c r="N61" s="748"/>
      <c r="O61" s="996">
        <v>0</v>
      </c>
      <c r="P61" s="1068">
        <v>0</v>
      </c>
    </row>
    <row r="62" spans="1:17" ht="12.6" customHeight="1">
      <c r="A62" s="124" t="s">
        <v>334</v>
      </c>
      <c r="B62" s="295"/>
      <c r="C62" s="102" t="s">
        <v>335</v>
      </c>
      <c r="D62" s="100"/>
      <c r="E62" s="7"/>
      <c r="F62" s="100"/>
      <c r="G62" s="7"/>
      <c r="H62" s="100"/>
      <c r="I62" s="7">
        <f t="shared" si="6"/>
        <v>0</v>
      </c>
      <c r="J62" s="100"/>
      <c r="K62" s="7">
        <v>0</v>
      </c>
      <c r="L62" s="100"/>
      <c r="M62" s="7"/>
      <c r="N62" s="748"/>
      <c r="O62" s="996">
        <v>0</v>
      </c>
      <c r="P62" s="1068">
        <v>0</v>
      </c>
    </row>
    <row r="63" spans="1:17" ht="12.6" customHeight="1">
      <c r="A63" s="124" t="s">
        <v>50</v>
      </c>
      <c r="B63" s="295"/>
      <c r="C63" s="102" t="s">
        <v>156</v>
      </c>
      <c r="D63" s="122"/>
      <c r="E63" s="7"/>
      <c r="F63" s="122"/>
      <c r="G63" s="7"/>
      <c r="H63" s="122"/>
      <c r="I63" s="7">
        <f>K63-G63</f>
        <v>0</v>
      </c>
      <c r="J63" s="122"/>
      <c r="K63" s="7">
        <v>0</v>
      </c>
      <c r="L63" s="122"/>
      <c r="M63" s="7"/>
      <c r="N63" s="109"/>
      <c r="O63" s="996">
        <v>0</v>
      </c>
      <c r="P63" s="1068">
        <v>0</v>
      </c>
    </row>
    <row r="64" spans="1:17" ht="12.6" customHeight="1">
      <c r="A64" s="124" t="s">
        <v>1210</v>
      </c>
      <c r="B64" s="295"/>
      <c r="C64" s="102"/>
      <c r="D64" s="122"/>
      <c r="E64" s="105">
        <v>0</v>
      </c>
      <c r="F64" s="125"/>
      <c r="G64" s="105">
        <v>94900</v>
      </c>
      <c r="H64" s="125"/>
      <c r="I64" s="105">
        <f t="shared" si="6"/>
        <v>25100</v>
      </c>
      <c r="J64" s="125"/>
      <c r="K64" s="105">
        <v>120000</v>
      </c>
      <c r="L64" s="125"/>
      <c r="M64" s="105"/>
      <c r="N64" s="109"/>
      <c r="O64" s="996">
        <v>0</v>
      </c>
      <c r="P64" s="1068">
        <v>0</v>
      </c>
    </row>
    <row r="65" spans="1:22" ht="12.6" customHeight="1">
      <c r="A65" s="1325" t="s">
        <v>16</v>
      </c>
      <c r="B65" s="1326"/>
      <c r="C65" s="102"/>
      <c r="D65" s="109" t="s">
        <v>15</v>
      </c>
      <c r="E65" s="110">
        <f>SUM(E56:E64)</f>
        <v>125995</v>
      </c>
      <c r="F65" s="109" t="s">
        <v>15</v>
      </c>
      <c r="G65" s="110">
        <f>SUM(G56:G64)</f>
        <v>294900</v>
      </c>
      <c r="H65" s="109" t="s">
        <v>15</v>
      </c>
      <c r="I65" s="110">
        <f>SUM(I56:I64)</f>
        <v>25100</v>
      </c>
      <c r="J65" s="109" t="s">
        <v>15</v>
      </c>
      <c r="K65" s="110">
        <f>SUM(K56:K64)</f>
        <v>320000</v>
      </c>
      <c r="L65" s="109" t="s">
        <v>15</v>
      </c>
      <c r="M65" s="110">
        <f>SUM(M56:M64)</f>
        <v>0</v>
      </c>
      <c r="N65" s="109" t="s">
        <v>15</v>
      </c>
      <c r="O65" s="1033">
        <f>M65-K65</f>
        <v>-320000</v>
      </c>
      <c r="P65" s="1033">
        <f>SUM(P56:P64)</f>
        <v>0</v>
      </c>
    </row>
    <row r="66" spans="1:22" ht="4.5" customHeight="1">
      <c r="A66" s="101"/>
      <c r="B66" s="98"/>
      <c r="C66" s="102"/>
      <c r="D66" s="100"/>
      <c r="E66" s="7"/>
      <c r="F66" s="100"/>
      <c r="G66" s="7"/>
      <c r="H66" s="100"/>
      <c r="I66" s="7"/>
      <c r="J66" s="100"/>
      <c r="K66" s="7"/>
      <c r="L66" s="100"/>
      <c r="M66" s="7"/>
      <c r="N66" s="100"/>
      <c r="O66" s="1035"/>
    </row>
    <row r="67" spans="1:22" ht="12.6" customHeight="1">
      <c r="A67" s="1336" t="s">
        <v>277</v>
      </c>
      <c r="B67" s="1337"/>
      <c r="C67" s="113"/>
      <c r="D67" s="125" t="s">
        <v>15</v>
      </c>
      <c r="E67" s="126">
        <f>E54+E37+E65</f>
        <v>7517205.9000000004</v>
      </c>
      <c r="F67" s="125" t="s">
        <v>15</v>
      </c>
      <c r="G67" s="126">
        <f>G65+G54+G37</f>
        <v>4364372.0600000005</v>
      </c>
      <c r="H67" s="125" t="s">
        <v>15</v>
      </c>
      <c r="I67" s="126">
        <f>I65+I54+I37</f>
        <v>5996508.9400000004</v>
      </c>
      <c r="J67" s="125" t="s">
        <v>15</v>
      </c>
      <c r="K67" s="126">
        <f>K65+K54+K37</f>
        <v>10360881</v>
      </c>
      <c r="L67" s="125" t="s">
        <v>15</v>
      </c>
      <c r="M67" s="126">
        <f>M65+M54+M37</f>
        <v>10150391</v>
      </c>
      <c r="N67" s="125"/>
      <c r="O67" s="1044"/>
      <c r="P67" s="1044">
        <f>P65+P54+P37</f>
        <v>-483000</v>
      </c>
    </row>
    <row r="68" spans="1:22" ht="13.5" customHeight="1">
      <c r="A68" s="62" t="s">
        <v>1623</v>
      </c>
      <c r="B68" s="916"/>
      <c r="C68" s="915"/>
      <c r="D68" s="149"/>
      <c r="E68" s="175"/>
      <c r="F68" s="149"/>
      <c r="G68" s="175"/>
      <c r="H68" s="149"/>
      <c r="I68" s="175"/>
      <c r="J68" s="149"/>
      <c r="K68" s="175"/>
      <c r="L68" s="149"/>
      <c r="M68" s="175"/>
      <c r="N68" s="149"/>
      <c r="O68" s="1039"/>
      <c r="P68" s="1039"/>
    </row>
    <row r="69" spans="1:22" s="127" customFormat="1" ht="15" customHeight="1">
      <c r="A69" s="127" t="s">
        <v>187</v>
      </c>
      <c r="C69" s="128" t="s">
        <v>188</v>
      </c>
      <c r="F69" s="129"/>
      <c r="I69" s="127" t="s">
        <v>190</v>
      </c>
      <c r="L69" s="129"/>
      <c r="N69" s="129"/>
      <c r="O69" s="985"/>
      <c r="P69" s="964"/>
      <c r="Q69" s="985"/>
      <c r="R69" s="1009"/>
      <c r="S69" s="1009"/>
      <c r="T69" s="130"/>
      <c r="U69" s="130"/>
      <c r="V69" s="130"/>
    </row>
    <row r="70" spans="1:22" s="127" customFormat="1" ht="7.5" customHeight="1">
      <c r="C70" s="128"/>
      <c r="F70" s="129"/>
      <c r="L70" s="129"/>
      <c r="N70" s="129"/>
      <c r="O70" s="985"/>
      <c r="P70" s="964"/>
      <c r="Q70" s="985"/>
      <c r="R70" s="1009"/>
      <c r="S70" s="1009"/>
      <c r="T70" s="130"/>
      <c r="U70" s="130"/>
      <c r="V70" s="130"/>
    </row>
    <row r="71" spans="1:22" ht="15" customHeight="1">
      <c r="A71" s="132" t="s">
        <v>210</v>
      </c>
      <c r="B71" s="132"/>
      <c r="C71" s="89"/>
      <c r="D71" s="131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986"/>
    </row>
    <row r="72" spans="1:22" s="89" customFormat="1" ht="15" customHeight="1">
      <c r="A72" s="1323" t="s">
        <v>1609</v>
      </c>
      <c r="B72" s="1323"/>
      <c r="C72" s="1323" t="s">
        <v>1584</v>
      </c>
      <c r="D72" s="1323"/>
      <c r="E72" s="1323"/>
      <c r="F72" s="1323"/>
      <c r="G72" s="1323"/>
      <c r="H72" s="131"/>
      <c r="I72" s="1323" t="str">
        <f>mto!I88</f>
        <v>(Sgd.) ATTY. JOSE JOEL P. DOROMAL</v>
      </c>
      <c r="J72" s="1323"/>
      <c r="K72" s="1323"/>
      <c r="L72" s="1323"/>
      <c r="M72" s="1323"/>
      <c r="N72" s="774"/>
      <c r="O72" s="967"/>
      <c r="P72" s="965"/>
      <c r="Q72" s="965"/>
      <c r="R72" s="965" t="s">
        <v>57</v>
      </c>
      <c r="S72" s="965"/>
    </row>
    <row r="73" spans="1:22" ht="10.5" customHeight="1">
      <c r="A73" s="1322" t="s">
        <v>211</v>
      </c>
      <c r="B73" s="1322"/>
      <c r="C73" s="1322" t="s">
        <v>206</v>
      </c>
      <c r="D73" s="1322"/>
      <c r="E73" s="1322"/>
      <c r="F73" s="1322"/>
      <c r="G73" s="1322"/>
      <c r="I73" s="1322" t="s">
        <v>192</v>
      </c>
      <c r="J73" s="1322"/>
      <c r="K73" s="1322"/>
      <c r="L73" s="1322"/>
      <c r="M73" s="1322"/>
      <c r="N73" s="776"/>
      <c r="O73" s="962"/>
    </row>
    <row r="74" spans="1:22" ht="10.5" customHeight="1"/>
    <row r="123" spans="1:14">
      <c r="A123" s="134" t="s">
        <v>225</v>
      </c>
      <c r="B123" s="92"/>
      <c r="C123" s="92"/>
      <c r="D123" s="116"/>
      <c r="E123" s="115"/>
      <c r="F123" s="86"/>
      <c r="H123" s="86"/>
      <c r="J123" s="86"/>
      <c r="L123" s="86"/>
      <c r="N123" s="86"/>
    </row>
    <row r="124" spans="1:14">
      <c r="A124" s="1324" t="s">
        <v>60</v>
      </c>
      <c r="B124" s="1311"/>
      <c r="C124" s="108"/>
      <c r="D124" s="111"/>
      <c r="E124" s="98"/>
      <c r="F124" s="86"/>
      <c r="H124" s="86"/>
      <c r="J124" s="86"/>
      <c r="L124" s="86"/>
      <c r="N124" s="86"/>
    </row>
    <row r="125" spans="1:14">
      <c r="A125" s="101" t="s">
        <v>233</v>
      </c>
      <c r="B125" s="108"/>
      <c r="C125" s="108"/>
      <c r="D125" s="111"/>
      <c r="E125" s="135" t="s">
        <v>228</v>
      </c>
      <c r="F125" s="86"/>
      <c r="H125" s="86"/>
      <c r="J125" s="86"/>
      <c r="L125" s="86"/>
      <c r="N125" s="86"/>
    </row>
    <row r="126" spans="1:14">
      <c r="A126" s="101"/>
      <c r="B126" s="108"/>
      <c r="C126" s="108"/>
      <c r="D126" s="111"/>
      <c r="E126" s="98"/>
      <c r="F126" s="86"/>
      <c r="H126" s="86"/>
      <c r="J126" s="86"/>
      <c r="L126" s="86"/>
      <c r="N126" s="86"/>
    </row>
    <row r="127" spans="1:14">
      <c r="A127" s="136" t="s">
        <v>61</v>
      </c>
      <c r="B127" s="108"/>
      <c r="C127" s="108"/>
      <c r="D127" s="111" t="s">
        <v>15</v>
      </c>
      <c r="E127" s="7">
        <v>1443000</v>
      </c>
      <c r="F127" s="86"/>
      <c r="H127" s="86"/>
      <c r="J127" s="86"/>
      <c r="L127" s="86"/>
      <c r="N127" s="86"/>
    </row>
    <row r="128" spans="1:14">
      <c r="A128" s="136" t="s">
        <v>81</v>
      </c>
      <c r="B128" s="108"/>
      <c r="C128" s="108"/>
      <c r="D128" s="111"/>
      <c r="E128" s="7">
        <v>150000</v>
      </c>
      <c r="F128" s="86"/>
      <c r="H128" s="86"/>
      <c r="J128" s="86"/>
      <c r="L128" s="86"/>
      <c r="N128" s="86"/>
    </row>
    <row r="129" spans="1:14">
      <c r="A129" s="136" t="s">
        <v>82</v>
      </c>
      <c r="B129" s="108"/>
      <c r="C129" s="108"/>
      <c r="D129" s="111"/>
      <c r="E129" s="7">
        <v>150000</v>
      </c>
      <c r="F129" s="86"/>
      <c r="H129" s="86"/>
      <c r="J129" s="86"/>
      <c r="L129" s="86"/>
      <c r="N129" s="86"/>
    </row>
    <row r="130" spans="1:14" ht="15.75">
      <c r="A130" s="136" t="s">
        <v>87</v>
      </c>
      <c r="B130" s="108"/>
      <c r="C130" s="108"/>
      <c r="D130" s="111"/>
      <c r="E130" s="137">
        <v>50000</v>
      </c>
      <c r="F130" s="86"/>
      <c r="H130" s="86"/>
      <c r="J130" s="86"/>
      <c r="L130" s="86"/>
      <c r="N130" s="86"/>
    </row>
    <row r="131" spans="1:14">
      <c r="A131" s="1320" t="s">
        <v>64</v>
      </c>
      <c r="B131" s="1321"/>
      <c r="C131" s="108"/>
      <c r="D131" s="111" t="s">
        <v>15</v>
      </c>
      <c r="E131" s="7">
        <f>SUM(E127:E130)</f>
        <v>1793000</v>
      </c>
      <c r="F131" s="86"/>
      <c r="H131" s="86"/>
      <c r="J131" s="86"/>
      <c r="L131" s="86"/>
      <c r="N131" s="86"/>
    </row>
    <row r="132" spans="1:14">
      <c r="A132" s="138"/>
      <c r="B132" s="90"/>
      <c r="C132" s="90"/>
      <c r="D132" s="139"/>
      <c r="E132" s="112"/>
      <c r="F132" s="86"/>
      <c r="H132" s="86"/>
      <c r="J132" s="86"/>
      <c r="L132" s="86"/>
      <c r="N132" s="86"/>
    </row>
    <row r="135" spans="1:14">
      <c r="A135" s="134" t="s">
        <v>225</v>
      </c>
      <c r="B135" s="92"/>
      <c r="C135" s="92"/>
      <c r="D135" s="116"/>
      <c r="E135" s="115"/>
    </row>
    <row r="136" spans="1:14">
      <c r="A136" s="1324" t="s">
        <v>60</v>
      </c>
      <c r="B136" s="1311"/>
      <c r="C136" s="108"/>
      <c r="D136" s="111"/>
      <c r="E136" s="98"/>
    </row>
    <row r="137" spans="1:14">
      <c r="A137" s="101" t="s">
        <v>233</v>
      </c>
      <c r="B137" s="108"/>
      <c r="C137" s="108"/>
      <c r="D137" s="111"/>
      <c r="E137" s="135" t="s">
        <v>300</v>
      </c>
    </row>
    <row r="138" spans="1:14">
      <c r="A138" s="101"/>
      <c r="B138" s="108"/>
      <c r="C138" s="108"/>
      <c r="D138" s="111"/>
      <c r="E138" s="98"/>
    </row>
    <row r="139" spans="1:14">
      <c r="A139" s="136" t="s">
        <v>61</v>
      </c>
      <c r="B139" s="108"/>
      <c r="C139" s="108"/>
      <c r="D139" s="111" t="s">
        <v>15</v>
      </c>
      <c r="E139" s="7">
        <v>1488000</v>
      </c>
    </row>
    <row r="140" spans="1:14">
      <c r="A140" s="136" t="s">
        <v>81</v>
      </c>
      <c r="B140" s="108"/>
      <c r="C140" s="108"/>
      <c r="D140" s="111"/>
      <c r="E140" s="7">
        <v>120000</v>
      </c>
    </row>
    <row r="141" spans="1:14">
      <c r="A141" s="136" t="s">
        <v>82</v>
      </c>
      <c r="B141" s="108"/>
      <c r="C141" s="108"/>
      <c r="D141" s="111"/>
      <c r="E141" s="7">
        <v>100000</v>
      </c>
    </row>
    <row r="142" spans="1:14">
      <c r="A142" s="136" t="s">
        <v>87</v>
      </c>
      <c r="B142" s="108"/>
      <c r="C142" s="108"/>
      <c r="D142" s="111"/>
      <c r="E142" s="7">
        <v>150000</v>
      </c>
    </row>
    <row r="143" spans="1:14">
      <c r="A143" s="136" t="s">
        <v>310</v>
      </c>
      <c r="B143" s="108"/>
      <c r="C143" s="108"/>
      <c r="D143" s="111"/>
      <c r="E143" s="7">
        <v>100000</v>
      </c>
    </row>
    <row r="144" spans="1:14" ht="15.75">
      <c r="A144" s="136" t="s">
        <v>323</v>
      </c>
      <c r="B144" s="108"/>
      <c r="C144" s="108"/>
      <c r="D144" s="111"/>
      <c r="E144" s="137">
        <v>390000</v>
      </c>
    </row>
    <row r="145" spans="1:5">
      <c r="A145" s="1320" t="s">
        <v>64</v>
      </c>
      <c r="B145" s="1321"/>
      <c r="C145" s="108"/>
      <c r="D145" s="111" t="s">
        <v>15</v>
      </c>
      <c r="E145" s="7">
        <f>SUM(E139:E144)</f>
        <v>2348000</v>
      </c>
    </row>
    <row r="146" spans="1:5">
      <c r="A146" s="138"/>
      <c r="B146" s="90"/>
      <c r="C146" s="90"/>
      <c r="D146" s="139"/>
      <c r="E146" s="112"/>
    </row>
  </sheetData>
  <sheetProtection algorithmName="SHA-512" hashValue="P+jqr8XzTXNcDew3PABKZcx4BYpioR9xpj11DISIFmAiDLSJjSZrDA67aB54enwQxlN+l8dqesiz10tqSfNVnw==" saltValue="n8GCCi//tMwe7g8bZ0Kvfw==" spinCount="100000" sheet="1" objects="1" scenarios="1"/>
  <mergeCells count="32">
    <mergeCell ref="N11:O13"/>
    <mergeCell ref="A67:B67"/>
    <mergeCell ref="H12:I12"/>
    <mergeCell ref="D12:E12"/>
    <mergeCell ref="A136:B136"/>
    <mergeCell ref="A12:B12"/>
    <mergeCell ref="L12:M12"/>
    <mergeCell ref="F12:G12"/>
    <mergeCell ref="A54:B54"/>
    <mergeCell ref="A145:B145"/>
    <mergeCell ref="A124:B124"/>
    <mergeCell ref="A73:B73"/>
    <mergeCell ref="A131:B131"/>
    <mergeCell ref="L13:M13"/>
    <mergeCell ref="I72:M72"/>
    <mergeCell ref="I73:M73"/>
    <mergeCell ref="C72:G72"/>
    <mergeCell ref="A37:B37"/>
    <mergeCell ref="A65:B65"/>
    <mergeCell ref="F13:G13"/>
    <mergeCell ref="H13:I13"/>
    <mergeCell ref="A72:B72"/>
    <mergeCell ref="D13:E13"/>
    <mergeCell ref="J12:K13"/>
    <mergeCell ref="C73:G73"/>
    <mergeCell ref="A3:M3"/>
    <mergeCell ref="A4:M4"/>
    <mergeCell ref="F7:M7"/>
    <mergeCell ref="F8:M8"/>
    <mergeCell ref="D11:E11"/>
    <mergeCell ref="F11:K11"/>
    <mergeCell ref="L11:M11"/>
  </mergeCells>
  <phoneticPr fontId="0" type="noConversion"/>
  <pageMargins left="0.2" right="0.2" top="0.59055118110236204" bottom="0.39370078740157499" header="0.35433070866141703" footer="0.511811023622047"/>
  <pageSetup paperSize="14" orientation="portrait" verticalDpi="300" r:id="rId1"/>
  <headerFooter alignWithMargins="0">
    <oddHeader>&amp;RPage &amp;P of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T139"/>
  <sheetViews>
    <sheetView topLeftCell="A32" zoomScale="160" zoomScaleNormal="160" workbookViewId="0">
      <selection activeCell="N22" sqref="N22"/>
    </sheetView>
  </sheetViews>
  <sheetFormatPr defaultColWidth="9.140625" defaultRowHeight="13.5"/>
  <cols>
    <col min="1" max="1" width="11" style="86" customWidth="1"/>
    <col min="2" max="2" width="26.140625" style="86" customWidth="1"/>
    <col min="3" max="3" width="8.140625" style="86" customWidth="1"/>
    <col min="4" max="4" width="2.28515625" style="87" customWidth="1"/>
    <col min="5" max="5" width="9.42578125" style="86" customWidth="1"/>
    <col min="6" max="6" width="2.28515625" style="87" customWidth="1"/>
    <col min="7" max="7" width="8.7109375" style="86" customWidth="1"/>
    <col min="8" max="8" width="2.28515625" style="87" customWidth="1"/>
    <col min="9" max="9" width="8.85546875" style="86" customWidth="1"/>
    <col min="10" max="10" width="2.28515625" style="87" customWidth="1"/>
    <col min="11" max="11" width="9.42578125" style="86" customWidth="1"/>
    <col min="12" max="12" width="2.28515625" style="87" customWidth="1"/>
    <col min="13" max="13" width="9.85546875" style="86" customWidth="1"/>
    <col min="14" max="16384" width="9.140625" style="86"/>
  </cols>
  <sheetData>
    <row r="1" spans="1:13">
      <c r="A1" s="86" t="s">
        <v>186</v>
      </c>
    </row>
    <row r="4" spans="1:13">
      <c r="A4" s="1323" t="s">
        <v>195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</row>
    <row r="5" spans="1:13">
      <c r="A5" s="1323" t="s">
        <v>401</v>
      </c>
      <c r="B5" s="1323"/>
      <c r="C5" s="1323"/>
      <c r="D5" s="1323"/>
      <c r="E5" s="1323"/>
      <c r="F5" s="1323"/>
      <c r="G5" s="1323"/>
      <c r="H5" s="1323"/>
      <c r="I5" s="1323"/>
      <c r="J5" s="1323"/>
      <c r="K5" s="1323"/>
      <c r="L5" s="1323"/>
      <c r="M5" s="1323"/>
    </row>
    <row r="7" spans="1:13">
      <c r="A7" s="89" t="s">
        <v>85</v>
      </c>
      <c r="B7" s="90" t="s">
        <v>449</v>
      </c>
      <c r="C7" s="90"/>
    </row>
    <row r="8" spans="1:13" hidden="1">
      <c r="A8" s="86" t="s">
        <v>2</v>
      </c>
      <c r="B8" s="91" t="s">
        <v>450</v>
      </c>
      <c r="C8" s="91"/>
      <c r="F8" s="1338"/>
      <c r="G8" s="1338"/>
      <c r="H8" s="1338"/>
      <c r="I8" s="1338"/>
      <c r="J8" s="1338"/>
      <c r="K8" s="1338"/>
      <c r="L8" s="1338"/>
      <c r="M8" s="1338"/>
    </row>
    <row r="9" spans="1:13" hidden="1">
      <c r="A9" s="86" t="s">
        <v>3</v>
      </c>
      <c r="B9" s="91" t="s">
        <v>451</v>
      </c>
      <c r="C9" s="91"/>
      <c r="F9" s="1322"/>
      <c r="G9" s="1322"/>
      <c r="H9" s="1322"/>
      <c r="I9" s="1322"/>
      <c r="J9" s="1322"/>
      <c r="K9" s="1322"/>
      <c r="L9" s="1322"/>
      <c r="M9" s="1322"/>
    </row>
    <row r="10" spans="1:13" hidden="1">
      <c r="A10" s="86" t="s">
        <v>4</v>
      </c>
      <c r="B10" s="91" t="s">
        <v>404</v>
      </c>
      <c r="C10" s="91"/>
    </row>
    <row r="12" spans="1:13">
      <c r="A12" s="93"/>
      <c r="B12" s="94"/>
      <c r="C12" s="2" t="s">
        <v>5</v>
      </c>
      <c r="D12" s="1300" t="s">
        <v>7</v>
      </c>
      <c r="E12" s="1300"/>
      <c r="F12" s="1301" t="s">
        <v>1304</v>
      </c>
      <c r="G12" s="1302"/>
      <c r="H12" s="1302"/>
      <c r="I12" s="1302"/>
      <c r="J12" s="1302"/>
      <c r="K12" s="1303"/>
      <c r="L12" s="1300" t="s">
        <v>8</v>
      </c>
      <c r="M12" s="1300"/>
    </row>
    <row r="13" spans="1:13">
      <c r="A13" s="1334" t="s">
        <v>34</v>
      </c>
      <c r="B13" s="1335"/>
      <c r="C13" s="3" t="s">
        <v>6</v>
      </c>
      <c r="D13" s="1304">
        <v>2021</v>
      </c>
      <c r="E13" s="1304"/>
      <c r="F13" s="1286" t="s">
        <v>184</v>
      </c>
      <c r="G13" s="1287"/>
      <c r="H13" s="1286" t="s">
        <v>185</v>
      </c>
      <c r="I13" s="1287"/>
      <c r="J13" s="1288" t="s">
        <v>64</v>
      </c>
      <c r="K13" s="1289"/>
      <c r="L13" s="1304">
        <v>2023</v>
      </c>
      <c r="M13" s="1304"/>
    </row>
    <row r="14" spans="1:13">
      <c r="A14" s="95"/>
      <c r="B14" s="96"/>
      <c r="C14" s="4"/>
      <c r="D14" s="1305" t="s">
        <v>10</v>
      </c>
      <c r="E14" s="1305"/>
      <c r="F14" s="1306" t="s">
        <v>10</v>
      </c>
      <c r="G14" s="1307"/>
      <c r="H14" s="1306" t="s">
        <v>9</v>
      </c>
      <c r="I14" s="1307"/>
      <c r="J14" s="1290"/>
      <c r="K14" s="1291"/>
      <c r="L14" s="1305" t="s">
        <v>27</v>
      </c>
      <c r="M14" s="1305"/>
    </row>
    <row r="15" spans="1:13">
      <c r="A15" s="97" t="s">
        <v>282</v>
      </c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</row>
    <row r="16" spans="1:13">
      <c r="A16" s="101" t="s">
        <v>41</v>
      </c>
      <c r="B16" s="98"/>
      <c r="C16" s="102" t="s">
        <v>126</v>
      </c>
      <c r="D16" s="100" t="s">
        <v>15</v>
      </c>
      <c r="E16" s="7">
        <v>17450</v>
      </c>
      <c r="F16" s="100" t="s">
        <v>15</v>
      </c>
      <c r="G16" s="7">
        <v>17500</v>
      </c>
      <c r="H16" s="100" t="s">
        <v>15</v>
      </c>
      <c r="I16" s="7">
        <f>K16-G16</f>
        <v>32500</v>
      </c>
      <c r="J16" s="100" t="s">
        <v>15</v>
      </c>
      <c r="K16" s="7">
        <v>50000</v>
      </c>
      <c r="L16" s="100" t="s">
        <v>15</v>
      </c>
      <c r="M16" s="7">
        <v>50000</v>
      </c>
    </row>
    <row r="17" spans="1:14">
      <c r="A17" s="101" t="s">
        <v>42</v>
      </c>
      <c r="B17" s="98"/>
      <c r="C17" s="102" t="s">
        <v>127</v>
      </c>
      <c r="D17" s="100"/>
      <c r="E17" s="157">
        <v>0</v>
      </c>
      <c r="F17" s="100"/>
      <c r="G17" s="157">
        <v>15467</v>
      </c>
      <c r="H17" s="100"/>
      <c r="I17" s="7">
        <f t="shared" ref="I17:I28" si="0">K17-G17</f>
        <v>39533</v>
      </c>
      <c r="J17" s="100"/>
      <c r="K17" s="7">
        <v>55000</v>
      </c>
      <c r="L17" s="100"/>
      <c r="M17" s="7">
        <v>55000</v>
      </c>
      <c r="N17" s="103"/>
    </row>
    <row r="18" spans="1:14">
      <c r="A18" s="101" t="s">
        <v>28</v>
      </c>
      <c r="B18" s="98"/>
      <c r="C18" s="102" t="s">
        <v>128</v>
      </c>
      <c r="D18" s="100"/>
      <c r="E18" s="157">
        <v>23296</v>
      </c>
      <c r="F18" s="100"/>
      <c r="G18" s="157">
        <v>15885</v>
      </c>
      <c r="H18" s="100"/>
      <c r="I18" s="7">
        <f t="shared" si="0"/>
        <v>30115</v>
      </c>
      <c r="J18" s="100"/>
      <c r="K18" s="7">
        <v>46000</v>
      </c>
      <c r="L18" s="100"/>
      <c r="M18" s="7">
        <v>46000</v>
      </c>
    </row>
    <row r="19" spans="1:14">
      <c r="A19" s="101" t="s">
        <v>755</v>
      </c>
      <c r="B19" s="98"/>
      <c r="C19" s="102" t="s">
        <v>129</v>
      </c>
      <c r="D19" s="100"/>
      <c r="E19" s="157">
        <v>19225.91</v>
      </c>
      <c r="F19" s="100"/>
      <c r="G19" s="157">
        <v>12950</v>
      </c>
      <c r="H19" s="100"/>
      <c r="I19" s="7">
        <f t="shared" si="0"/>
        <v>24050</v>
      </c>
      <c r="J19" s="100"/>
      <c r="K19" s="7">
        <v>37000</v>
      </c>
      <c r="L19" s="100"/>
      <c r="M19" s="7">
        <v>100000</v>
      </c>
    </row>
    <row r="20" spans="1:14">
      <c r="A20" s="101" t="s">
        <v>497</v>
      </c>
      <c r="B20" s="98"/>
      <c r="C20" s="102" t="s">
        <v>174</v>
      </c>
      <c r="D20" s="100"/>
      <c r="E20" s="157">
        <v>11061</v>
      </c>
      <c r="F20" s="100"/>
      <c r="G20" s="157">
        <v>0</v>
      </c>
      <c r="H20" s="100"/>
      <c r="I20" s="7">
        <f t="shared" si="0"/>
        <v>20000</v>
      </c>
      <c r="J20" s="100"/>
      <c r="K20" s="7">
        <v>20000</v>
      </c>
      <c r="L20" s="100"/>
      <c r="M20" s="7">
        <v>20000</v>
      </c>
    </row>
    <row r="21" spans="1:14">
      <c r="A21" s="101" t="s">
        <v>163</v>
      </c>
      <c r="B21" s="98"/>
      <c r="C21" s="102" t="s">
        <v>133</v>
      </c>
      <c r="D21" s="100"/>
      <c r="E21" s="157">
        <v>9000</v>
      </c>
      <c r="F21" s="100"/>
      <c r="G21" s="157">
        <v>7000</v>
      </c>
      <c r="H21" s="100"/>
      <c r="I21" s="7">
        <f t="shared" si="0"/>
        <v>7000</v>
      </c>
      <c r="J21" s="100"/>
      <c r="K21" s="7">
        <v>14000</v>
      </c>
      <c r="L21" s="100"/>
      <c r="M21" s="7">
        <v>14000</v>
      </c>
    </row>
    <row r="22" spans="1:14">
      <c r="A22" s="101" t="s">
        <v>135</v>
      </c>
      <c r="B22" s="98"/>
      <c r="C22" s="102" t="s">
        <v>134</v>
      </c>
      <c r="D22" s="100"/>
      <c r="E22" s="157">
        <v>19800</v>
      </c>
      <c r="F22" s="100"/>
      <c r="G22" s="157">
        <v>7595.96</v>
      </c>
      <c r="H22" s="100"/>
      <c r="I22" s="7">
        <f t="shared" si="0"/>
        <v>15204.04</v>
      </c>
      <c r="J22" s="100"/>
      <c r="K22" s="7">
        <v>22800</v>
      </c>
      <c r="L22" s="100"/>
      <c r="M22" s="7">
        <v>22800</v>
      </c>
    </row>
    <row r="23" spans="1:14">
      <c r="A23" s="101" t="s">
        <v>142</v>
      </c>
      <c r="B23" s="98"/>
      <c r="C23" s="102" t="s">
        <v>141</v>
      </c>
      <c r="D23" s="100"/>
      <c r="E23" s="157">
        <v>0</v>
      </c>
      <c r="F23" s="100"/>
      <c r="G23" s="157"/>
      <c r="H23" s="100"/>
      <c r="I23" s="7">
        <f t="shared" si="0"/>
        <v>0</v>
      </c>
      <c r="J23" s="100"/>
      <c r="K23" s="7">
        <v>0</v>
      </c>
      <c r="L23" s="100"/>
      <c r="M23" s="7"/>
    </row>
    <row r="24" spans="1:14">
      <c r="A24" s="101" t="s">
        <v>33</v>
      </c>
      <c r="B24" s="119"/>
      <c r="C24" s="102" t="s">
        <v>148</v>
      </c>
      <c r="D24" s="100"/>
      <c r="E24" s="157"/>
      <c r="F24" s="100"/>
      <c r="G24" s="157"/>
      <c r="H24" s="100"/>
      <c r="I24" s="7"/>
      <c r="J24" s="100"/>
      <c r="K24" s="7"/>
      <c r="L24" s="100"/>
      <c r="M24" s="7"/>
    </row>
    <row r="25" spans="1:14">
      <c r="A25" s="101"/>
      <c r="B25" s="7" t="s">
        <v>342</v>
      </c>
      <c r="C25" s="102"/>
      <c r="D25" s="100"/>
      <c r="E25" s="157">
        <v>100000</v>
      </c>
      <c r="F25" s="100"/>
      <c r="G25" s="157">
        <v>81539.38</v>
      </c>
      <c r="H25" s="100"/>
      <c r="I25" s="7">
        <f t="shared" si="0"/>
        <v>113460.62</v>
      </c>
      <c r="J25" s="100"/>
      <c r="K25" s="7">
        <v>195000</v>
      </c>
      <c r="L25" s="100"/>
      <c r="M25" s="7">
        <v>195000</v>
      </c>
    </row>
    <row r="26" spans="1:14">
      <c r="A26" s="101"/>
      <c r="B26" s="7" t="s">
        <v>510</v>
      </c>
      <c r="C26" s="102"/>
      <c r="D26" s="100"/>
      <c r="E26" s="157">
        <v>63784.06</v>
      </c>
      <c r="F26" s="100"/>
      <c r="G26" s="157">
        <v>21000</v>
      </c>
      <c r="H26" s="100"/>
      <c r="I26" s="7">
        <f t="shared" si="0"/>
        <v>294400</v>
      </c>
      <c r="J26" s="100"/>
      <c r="K26" s="7">
        <v>315400</v>
      </c>
      <c r="L26" s="100"/>
      <c r="M26" s="7">
        <v>120000</v>
      </c>
    </row>
    <row r="27" spans="1:14">
      <c r="A27" s="101"/>
      <c r="B27" s="7" t="s">
        <v>768</v>
      </c>
      <c r="C27" s="102"/>
      <c r="D27" s="100"/>
      <c r="E27" s="157">
        <v>28023.1</v>
      </c>
      <c r="F27" s="100"/>
      <c r="G27" s="157">
        <v>5084</v>
      </c>
      <c r="H27" s="100"/>
      <c r="I27" s="7">
        <f t="shared" si="0"/>
        <v>43116</v>
      </c>
      <c r="J27" s="100"/>
      <c r="K27" s="7">
        <v>48200</v>
      </c>
      <c r="L27" s="100"/>
      <c r="M27" s="7">
        <v>67878</v>
      </c>
    </row>
    <row r="28" spans="1:14">
      <c r="A28" s="101"/>
      <c r="B28" s="7" t="s">
        <v>93</v>
      </c>
      <c r="C28" s="102"/>
      <c r="D28" s="100"/>
      <c r="E28" s="157">
        <v>32330</v>
      </c>
      <c r="F28" s="100"/>
      <c r="G28" s="157">
        <v>4500</v>
      </c>
      <c r="H28" s="100"/>
      <c r="I28" s="7">
        <f t="shared" si="0"/>
        <v>95500</v>
      </c>
      <c r="J28" s="100"/>
      <c r="K28" s="105">
        <v>100000</v>
      </c>
      <c r="L28" s="104"/>
      <c r="M28" s="105">
        <v>100000</v>
      </c>
    </row>
    <row r="29" spans="1:14" ht="14.25" customHeight="1">
      <c r="A29" s="1325" t="s">
        <v>13</v>
      </c>
      <c r="B29" s="1326"/>
      <c r="C29" s="102"/>
      <c r="D29" s="109" t="s">
        <v>15</v>
      </c>
      <c r="E29" s="110">
        <f>SUM(E16:E28)</f>
        <v>323970.06999999995</v>
      </c>
      <c r="F29" s="109" t="s">
        <v>15</v>
      </c>
      <c r="G29" s="110">
        <f>SUM(G16:G28)</f>
        <v>188521.34000000003</v>
      </c>
      <c r="H29" s="109" t="s">
        <v>15</v>
      </c>
      <c r="I29" s="110">
        <f>SUM(I16:I28)</f>
        <v>714878.66</v>
      </c>
      <c r="J29" s="109" t="s">
        <v>15</v>
      </c>
      <c r="K29" s="110">
        <f>SUM(K16:K28)</f>
        <v>903400</v>
      </c>
      <c r="L29" s="109" t="s">
        <v>15</v>
      </c>
      <c r="M29" s="110">
        <f>SUM(M16:M28)</f>
        <v>790678</v>
      </c>
      <c r="N29" s="103"/>
    </row>
    <row r="30" spans="1:14" ht="3.75" customHeight="1">
      <c r="A30" s="155"/>
      <c r="B30" s="119"/>
      <c r="C30" s="102"/>
      <c r="D30" s="100"/>
      <c r="E30" s="7"/>
      <c r="F30" s="100"/>
      <c r="G30" s="7"/>
      <c r="H30" s="100"/>
      <c r="I30" s="7"/>
      <c r="J30" s="100"/>
      <c r="K30" s="7"/>
      <c r="L30" s="100"/>
      <c r="M30" s="7"/>
    </row>
    <row r="31" spans="1:14">
      <c r="A31" s="121" t="s">
        <v>283</v>
      </c>
      <c r="B31" s="119"/>
      <c r="C31" s="102"/>
      <c r="D31" s="122"/>
      <c r="E31" s="123"/>
      <c r="F31" s="122"/>
      <c r="G31" s="123"/>
      <c r="H31" s="122"/>
      <c r="I31" s="123"/>
      <c r="J31" s="122"/>
      <c r="K31" s="123"/>
      <c r="L31" s="122"/>
      <c r="M31" s="123"/>
    </row>
    <row r="32" spans="1:14">
      <c r="A32" s="124" t="s">
        <v>51</v>
      </c>
      <c r="B32" s="119"/>
      <c r="C32" s="102" t="s">
        <v>149</v>
      </c>
      <c r="D32" s="100" t="s">
        <v>15</v>
      </c>
      <c r="E32" s="7"/>
      <c r="F32" s="100" t="s">
        <v>15</v>
      </c>
      <c r="G32" s="7"/>
      <c r="H32" s="100" t="s">
        <v>15</v>
      </c>
      <c r="I32" s="7">
        <f t="shared" ref="I32:I34" si="1">K32-G32</f>
        <v>0</v>
      </c>
      <c r="J32" s="100" t="s">
        <v>15</v>
      </c>
      <c r="K32" s="7">
        <v>0</v>
      </c>
      <c r="L32" s="100" t="s">
        <v>15</v>
      </c>
      <c r="M32" s="7">
        <v>0</v>
      </c>
    </row>
    <row r="33" spans="1:20">
      <c r="A33" s="124" t="s">
        <v>152</v>
      </c>
      <c r="B33" s="119"/>
      <c r="C33" s="102" t="s">
        <v>150</v>
      </c>
      <c r="D33" s="122"/>
      <c r="E33" s="7"/>
      <c r="F33" s="122"/>
      <c r="G33" s="7"/>
      <c r="H33" s="122"/>
      <c r="I33" s="7"/>
      <c r="J33" s="122"/>
      <c r="K33" s="7"/>
      <c r="L33" s="122"/>
      <c r="M33" s="7"/>
    </row>
    <row r="34" spans="1:20">
      <c r="A34" s="124" t="s">
        <v>888</v>
      </c>
      <c r="B34" s="351"/>
      <c r="C34" s="102"/>
      <c r="D34" s="122"/>
      <c r="E34" s="7">
        <v>0</v>
      </c>
      <c r="F34" s="122"/>
      <c r="G34" s="7"/>
      <c r="H34" s="122"/>
      <c r="I34" s="7">
        <f t="shared" si="1"/>
        <v>0</v>
      </c>
      <c r="J34" s="122"/>
      <c r="K34" s="7">
        <v>0</v>
      </c>
      <c r="L34" s="122"/>
      <c r="M34" s="7">
        <v>0</v>
      </c>
    </row>
    <row r="35" spans="1:20">
      <c r="A35" s="124" t="s">
        <v>153</v>
      </c>
      <c r="B35" s="351"/>
      <c r="C35" s="102" t="s">
        <v>151</v>
      </c>
      <c r="D35" s="122"/>
      <c r="E35" s="7"/>
      <c r="F35" s="122"/>
      <c r="G35" s="7"/>
      <c r="H35" s="122"/>
      <c r="I35" s="7"/>
      <c r="J35" s="122"/>
      <c r="K35" s="105"/>
      <c r="L35" s="125"/>
      <c r="M35" s="105"/>
    </row>
    <row r="36" spans="1:20">
      <c r="A36" s="1325" t="s">
        <v>16</v>
      </c>
      <c r="B36" s="1326"/>
      <c r="C36" s="102"/>
      <c r="D36" s="109" t="s">
        <v>15</v>
      </c>
      <c r="E36" s="110">
        <f>SUM(E32:E35)</f>
        <v>0</v>
      </c>
      <c r="F36" s="109" t="s">
        <v>15</v>
      </c>
      <c r="G36" s="110">
        <f>SUM(G32:G35)</f>
        <v>0</v>
      </c>
      <c r="H36" s="109" t="s">
        <v>15</v>
      </c>
      <c r="I36" s="110">
        <f>SUM(I32:I35)</f>
        <v>0</v>
      </c>
      <c r="J36" s="109" t="s">
        <v>15</v>
      </c>
      <c r="K36" s="110">
        <f>SUM(K32:K35)</f>
        <v>0</v>
      </c>
      <c r="L36" s="109" t="s">
        <v>15</v>
      </c>
      <c r="M36" s="110">
        <f>SUM(M32:M35)</f>
        <v>0</v>
      </c>
    </row>
    <row r="37" spans="1:20">
      <c r="A37" s="155"/>
      <c r="B37" s="147"/>
      <c r="C37" s="102"/>
      <c r="D37" s="120"/>
      <c r="E37" s="157"/>
      <c r="F37" s="120"/>
      <c r="G37" s="7"/>
      <c r="H37" s="120"/>
      <c r="I37" s="7"/>
      <c r="J37" s="120"/>
      <c r="K37" s="7"/>
      <c r="L37" s="120"/>
      <c r="M37" s="7"/>
    </row>
    <row r="38" spans="1:20">
      <c r="A38" s="1336" t="s">
        <v>277</v>
      </c>
      <c r="B38" s="1337"/>
      <c r="C38" s="113"/>
      <c r="D38" s="125" t="s">
        <v>15</v>
      </c>
      <c r="E38" s="219">
        <f>E36+E29</f>
        <v>323970.06999999995</v>
      </c>
      <c r="F38" s="125" t="s">
        <v>15</v>
      </c>
      <c r="G38" s="126">
        <f>G36+G29</f>
        <v>188521.34000000003</v>
      </c>
      <c r="H38" s="125" t="s">
        <v>15</v>
      </c>
      <c r="I38" s="126">
        <f>I36+I29</f>
        <v>714878.66</v>
      </c>
      <c r="J38" s="125" t="s">
        <v>15</v>
      </c>
      <c r="K38" s="126">
        <f>K36+K29</f>
        <v>903400</v>
      </c>
      <c r="L38" s="125" t="s">
        <v>15</v>
      </c>
      <c r="M38" s="126">
        <f>M36+M29</f>
        <v>790678</v>
      </c>
    </row>
    <row r="39" spans="1:20" ht="15.75" customHeight="1">
      <c r="A39" s="62" t="s">
        <v>1623</v>
      </c>
      <c r="B39" s="147"/>
      <c r="C39" s="108"/>
      <c r="D39" s="111"/>
      <c r="E39" s="157"/>
      <c r="F39" s="111"/>
      <c r="G39" s="157"/>
      <c r="H39" s="111"/>
      <c r="I39" s="157"/>
      <c r="J39" s="111"/>
      <c r="K39" s="157"/>
      <c r="L39" s="111"/>
      <c r="M39" s="157"/>
      <c r="N39" s="86" t="s">
        <v>11</v>
      </c>
    </row>
    <row r="40" spans="1:20" s="127" customFormat="1" ht="18.75" customHeight="1">
      <c r="A40" s="127" t="s">
        <v>187</v>
      </c>
      <c r="C40" s="128" t="s">
        <v>188</v>
      </c>
      <c r="F40" s="129"/>
      <c r="I40" s="127" t="s">
        <v>190</v>
      </c>
      <c r="L40" s="129"/>
      <c r="N40" s="129"/>
      <c r="P40" s="130"/>
      <c r="Q40" s="130"/>
      <c r="R40" s="130"/>
      <c r="S40" s="130"/>
      <c r="T40" s="130"/>
    </row>
    <row r="43" spans="1:20">
      <c r="A43" s="133" t="s">
        <v>227</v>
      </c>
      <c r="B43" s="133"/>
      <c r="E43" s="133"/>
      <c r="F43" s="133"/>
      <c r="G43" s="133"/>
      <c r="H43" s="133"/>
      <c r="I43" s="133"/>
      <c r="J43" s="133"/>
      <c r="K43" s="133"/>
      <c r="L43" s="133"/>
      <c r="M43" s="133"/>
    </row>
    <row r="44" spans="1:20" s="89" customFormat="1">
      <c r="A44" s="1323" t="s">
        <v>1610</v>
      </c>
      <c r="B44" s="1323"/>
      <c r="C44" s="1323" t="s">
        <v>1584</v>
      </c>
      <c r="D44" s="1323"/>
      <c r="E44" s="1323"/>
      <c r="F44" s="1323"/>
      <c r="G44" s="1323"/>
      <c r="H44" s="131"/>
      <c r="I44" s="1323" t="str">
        <f>pnp!I48</f>
        <v>(Sgd.) ATTY. JOSE JOEL P. DOROMAL</v>
      </c>
      <c r="J44" s="1323"/>
      <c r="K44" s="1323"/>
      <c r="L44" s="1323"/>
      <c r="M44" s="1323"/>
    </row>
    <row r="45" spans="1:20" ht="12" customHeight="1">
      <c r="A45" s="1322" t="s">
        <v>756</v>
      </c>
      <c r="B45" s="1322"/>
      <c r="C45" s="1322" t="s">
        <v>206</v>
      </c>
      <c r="D45" s="1322"/>
      <c r="E45" s="1322"/>
      <c r="F45" s="1322"/>
      <c r="G45" s="1322"/>
      <c r="I45" s="1322" t="s">
        <v>192</v>
      </c>
      <c r="J45" s="1322"/>
      <c r="K45" s="1322"/>
      <c r="L45" s="1322"/>
      <c r="M45" s="1322"/>
    </row>
    <row r="72" spans="1:12" ht="19.5" customHeight="1">
      <c r="F72" s="86"/>
      <c r="H72" s="86"/>
      <c r="J72" s="86"/>
      <c r="L72" s="86"/>
    </row>
    <row r="73" spans="1:12">
      <c r="A73" s="134" t="s">
        <v>243</v>
      </c>
      <c r="B73" s="92"/>
      <c r="C73" s="92"/>
      <c r="D73" s="116"/>
      <c r="E73" s="115"/>
      <c r="F73" s="86"/>
      <c r="H73" s="86"/>
      <c r="J73" s="86"/>
      <c r="L73" s="86"/>
    </row>
    <row r="74" spans="1:12">
      <c r="A74" s="1324" t="s">
        <v>60</v>
      </c>
      <c r="B74" s="1311"/>
      <c r="C74" s="108"/>
      <c r="D74" s="111"/>
      <c r="E74" s="98"/>
      <c r="F74" s="86"/>
      <c r="H74" s="86"/>
      <c r="J74" s="86"/>
      <c r="L74" s="86"/>
    </row>
    <row r="75" spans="1:12">
      <c r="A75" s="101" t="s">
        <v>233</v>
      </c>
      <c r="B75" s="108"/>
      <c r="C75" s="108"/>
      <c r="D75" s="111"/>
      <c r="E75" s="135" t="s">
        <v>228</v>
      </c>
      <c r="F75" s="86"/>
      <c r="H75" s="86"/>
      <c r="J75" s="86"/>
      <c r="L75" s="86"/>
    </row>
    <row r="76" spans="1:12">
      <c r="A76" s="101"/>
      <c r="B76" s="108"/>
      <c r="C76" s="108"/>
      <c r="D76" s="111"/>
      <c r="E76" s="98"/>
      <c r="F76" s="86"/>
      <c r="H76" s="86"/>
      <c r="J76" s="86"/>
      <c r="L76" s="86"/>
    </row>
    <row r="77" spans="1:12">
      <c r="A77" s="136" t="s">
        <v>61</v>
      </c>
      <c r="B77" s="108"/>
      <c r="C77" s="108"/>
      <c r="D77" s="111" t="s">
        <v>15</v>
      </c>
      <c r="E77" s="7">
        <v>93000</v>
      </c>
      <c r="F77" s="86"/>
      <c r="H77" s="86"/>
      <c r="J77" s="86"/>
      <c r="L77" s="86"/>
    </row>
    <row r="78" spans="1:12" ht="15.75">
      <c r="A78" s="136" t="s">
        <v>93</v>
      </c>
      <c r="B78" s="108"/>
      <c r="C78" s="108"/>
      <c r="D78" s="111"/>
      <c r="E78" s="137">
        <v>100000</v>
      </c>
      <c r="F78" s="86"/>
      <c r="H78" s="86"/>
      <c r="J78" s="86"/>
      <c r="L78" s="86"/>
    </row>
    <row r="79" spans="1:12">
      <c r="A79" s="1320" t="s">
        <v>64</v>
      </c>
      <c r="B79" s="1321"/>
      <c r="C79" s="108"/>
      <c r="D79" s="111" t="s">
        <v>15</v>
      </c>
      <c r="E79" s="7">
        <f>SUM(E77:E78)</f>
        <v>193000</v>
      </c>
      <c r="F79" s="86"/>
      <c r="H79" s="86"/>
      <c r="J79" s="86"/>
      <c r="L79" s="86"/>
    </row>
    <row r="80" spans="1:12">
      <c r="A80" s="138"/>
      <c r="B80" s="90"/>
      <c r="C80" s="90"/>
      <c r="D80" s="139"/>
      <c r="E80" s="112"/>
      <c r="F80" s="86"/>
      <c r="H80" s="86"/>
      <c r="J80" s="86"/>
      <c r="L80" s="86"/>
    </row>
    <row r="83" spans="1:12">
      <c r="A83" s="134" t="s">
        <v>243</v>
      </c>
      <c r="B83" s="92"/>
      <c r="C83" s="92"/>
      <c r="D83" s="116"/>
      <c r="E83" s="115"/>
      <c r="F83" s="86"/>
      <c r="H83" s="86"/>
      <c r="J83" s="86"/>
      <c r="L83" s="86"/>
    </row>
    <row r="84" spans="1:12">
      <c r="A84" s="1324" t="s">
        <v>60</v>
      </c>
      <c r="B84" s="1311"/>
      <c r="C84" s="108"/>
      <c r="D84" s="111"/>
      <c r="E84" s="98"/>
      <c r="F84" s="86"/>
      <c r="H84" s="86"/>
      <c r="J84" s="86"/>
      <c r="L84" s="86"/>
    </row>
    <row r="85" spans="1:12">
      <c r="A85" s="101" t="s">
        <v>233</v>
      </c>
      <c r="B85" s="108"/>
      <c r="C85" s="108"/>
      <c r="D85" s="111"/>
      <c r="E85" s="135" t="s">
        <v>300</v>
      </c>
      <c r="F85" s="86"/>
      <c r="H85" s="86"/>
      <c r="J85" s="86"/>
      <c r="L85" s="86"/>
    </row>
    <row r="86" spans="1:12">
      <c r="A86" s="101"/>
      <c r="B86" s="108"/>
      <c r="C86" s="108"/>
      <c r="D86" s="111"/>
      <c r="E86" s="98"/>
      <c r="F86" s="86"/>
      <c r="H86" s="86"/>
      <c r="J86" s="86"/>
      <c r="L86" s="86"/>
    </row>
    <row r="87" spans="1:12">
      <c r="A87" s="136" t="s">
        <v>61</v>
      </c>
      <c r="B87" s="108"/>
      <c r="C87" s="108"/>
      <c r="D87" s="111" t="s">
        <v>15</v>
      </c>
      <c r="E87" s="7">
        <v>96000</v>
      </c>
      <c r="F87" s="86"/>
      <c r="H87" s="86"/>
      <c r="J87" s="86"/>
      <c r="L87" s="86"/>
    </row>
    <row r="88" spans="1:12" ht="15.75">
      <c r="A88" s="136" t="s">
        <v>93</v>
      </c>
      <c r="B88" s="108"/>
      <c r="C88" s="108"/>
      <c r="D88" s="111"/>
      <c r="E88" s="137">
        <v>100000</v>
      </c>
      <c r="F88" s="86"/>
      <c r="H88" s="86"/>
      <c r="J88" s="86"/>
      <c r="L88" s="86"/>
    </row>
    <row r="89" spans="1:12">
      <c r="A89" s="1320" t="s">
        <v>64</v>
      </c>
      <c r="B89" s="1321"/>
      <c r="C89" s="108"/>
      <c r="D89" s="111" t="s">
        <v>15</v>
      </c>
      <c r="E89" s="7">
        <f>SUM(E87:E88)</f>
        <v>196000</v>
      </c>
      <c r="F89" s="86"/>
      <c r="H89" s="86"/>
      <c r="J89" s="86"/>
      <c r="L89" s="86"/>
    </row>
    <row r="90" spans="1:12">
      <c r="A90" s="138"/>
      <c r="B90" s="90"/>
      <c r="C90" s="90"/>
      <c r="D90" s="139"/>
      <c r="E90" s="112"/>
      <c r="F90" s="86"/>
      <c r="H90" s="86"/>
      <c r="J90" s="86"/>
      <c r="L90" s="86"/>
    </row>
    <row r="107" spans="1:12">
      <c r="A107" s="134" t="s">
        <v>243</v>
      </c>
      <c r="B107" s="92"/>
      <c r="C107" s="92"/>
      <c r="D107" s="116"/>
      <c r="E107" s="115"/>
      <c r="F107" s="86"/>
      <c r="H107" s="86"/>
      <c r="J107" s="86"/>
      <c r="L107" s="86"/>
    </row>
    <row r="108" spans="1:12">
      <c r="A108" s="1324" t="s">
        <v>60</v>
      </c>
      <c r="B108" s="1311"/>
      <c r="C108" s="108"/>
      <c r="D108" s="111"/>
      <c r="E108" s="98"/>
      <c r="F108" s="86"/>
      <c r="H108" s="86"/>
      <c r="J108" s="86"/>
      <c r="L108" s="86"/>
    </row>
    <row r="109" spans="1:12">
      <c r="A109" s="101" t="s">
        <v>233</v>
      </c>
      <c r="B109" s="108"/>
      <c r="C109" s="108"/>
      <c r="D109" s="111"/>
      <c r="E109" s="135" t="s">
        <v>300</v>
      </c>
      <c r="F109" s="86"/>
      <c r="H109" s="86"/>
      <c r="J109" s="86"/>
      <c r="L109" s="86"/>
    </row>
    <row r="110" spans="1:12">
      <c r="A110" s="101"/>
      <c r="B110" s="108"/>
      <c r="C110" s="108"/>
      <c r="D110" s="111"/>
      <c r="E110" s="98"/>
      <c r="F110" s="86"/>
      <c r="H110" s="86"/>
      <c r="J110" s="86"/>
      <c r="L110" s="86"/>
    </row>
    <row r="111" spans="1:12">
      <c r="A111" s="136" t="s">
        <v>61</v>
      </c>
      <c r="B111" s="108"/>
      <c r="C111" s="108"/>
      <c r="D111" s="111" t="s">
        <v>15</v>
      </c>
      <c r="E111" s="7">
        <v>96000</v>
      </c>
      <c r="F111" s="86"/>
      <c r="H111" s="86"/>
      <c r="J111" s="86"/>
      <c r="L111" s="86"/>
    </row>
    <row r="112" spans="1:12" ht="15.75">
      <c r="A112" s="136" t="s">
        <v>93</v>
      </c>
      <c r="B112" s="108"/>
      <c r="C112" s="108"/>
      <c r="D112" s="111"/>
      <c r="E112" s="137">
        <v>100000</v>
      </c>
      <c r="F112" s="86"/>
      <c r="H112" s="86"/>
      <c r="J112" s="86"/>
      <c r="L112" s="86"/>
    </row>
    <row r="113" spans="1:12">
      <c r="A113" s="1320" t="s">
        <v>64</v>
      </c>
      <c r="B113" s="1321"/>
      <c r="C113" s="108"/>
      <c r="D113" s="111" t="s">
        <v>15</v>
      </c>
      <c r="E113" s="7">
        <f>SUM(E111:E112)</f>
        <v>196000</v>
      </c>
      <c r="F113" s="86"/>
      <c r="H113" s="86"/>
      <c r="J113" s="86"/>
      <c r="L113" s="86"/>
    </row>
    <row r="114" spans="1:12">
      <c r="A114" s="138"/>
      <c r="B114" s="90"/>
      <c r="C114" s="90"/>
      <c r="D114" s="139"/>
      <c r="E114" s="112"/>
      <c r="F114" s="86"/>
      <c r="H114" s="86"/>
      <c r="J114" s="86"/>
      <c r="L114" s="86"/>
    </row>
    <row r="116" spans="1:12">
      <c r="A116" s="1357" t="s">
        <v>226</v>
      </c>
      <c r="B116" s="1358"/>
      <c r="C116" s="1358"/>
      <c r="D116" s="1358"/>
      <c r="E116" s="1359"/>
      <c r="F116" s="86"/>
      <c r="H116" s="86"/>
      <c r="J116" s="86"/>
      <c r="L116" s="86"/>
    </row>
    <row r="117" spans="1:12">
      <c r="A117" s="181"/>
      <c r="B117" s="92"/>
      <c r="C117" s="92"/>
      <c r="D117" s="116"/>
      <c r="E117" s="115"/>
      <c r="F117" s="86"/>
      <c r="H117" s="86"/>
      <c r="J117" s="86"/>
      <c r="L117" s="86"/>
    </row>
    <row r="118" spans="1:12">
      <c r="A118" s="1324" t="s">
        <v>60</v>
      </c>
      <c r="B118" s="1311"/>
      <c r="C118" s="108"/>
      <c r="D118" s="111"/>
      <c r="E118" s="98"/>
      <c r="F118" s="86"/>
      <c r="H118" s="86"/>
      <c r="J118" s="86"/>
      <c r="L118" s="86"/>
    </row>
    <row r="119" spans="1:12">
      <c r="A119" s="101" t="s">
        <v>233</v>
      </c>
      <c r="B119" s="108"/>
      <c r="C119" s="108"/>
      <c r="D119" s="111"/>
      <c r="E119" s="135" t="s">
        <v>300</v>
      </c>
      <c r="F119" s="86"/>
      <c r="H119" s="86"/>
      <c r="J119" s="86"/>
      <c r="L119" s="86"/>
    </row>
    <row r="120" spans="1:12">
      <c r="A120" s="101"/>
      <c r="B120" s="108"/>
      <c r="C120" s="108"/>
      <c r="D120" s="111"/>
      <c r="E120" s="98"/>
      <c r="F120" s="86"/>
      <c r="H120" s="86"/>
      <c r="J120" s="86"/>
      <c r="L120" s="86"/>
    </row>
    <row r="121" spans="1:12">
      <c r="A121" s="136" t="s">
        <v>61</v>
      </c>
      <c r="B121" s="108"/>
      <c r="C121" s="108"/>
      <c r="D121" s="111" t="s">
        <v>15</v>
      </c>
      <c r="E121" s="7">
        <v>2320000</v>
      </c>
      <c r="F121" s="86"/>
      <c r="H121" s="86"/>
      <c r="J121" s="86"/>
      <c r="L121" s="86"/>
    </row>
    <row r="122" spans="1:12">
      <c r="A122" s="136" t="s">
        <v>101</v>
      </c>
      <c r="B122" s="108"/>
      <c r="C122" s="108"/>
      <c r="D122" s="111"/>
      <c r="E122" s="7">
        <v>350000</v>
      </c>
      <c r="F122" s="86"/>
      <c r="H122" s="86"/>
      <c r="J122" s="86"/>
      <c r="L122" s="86"/>
    </row>
    <row r="123" spans="1:12">
      <c r="A123" s="136" t="s">
        <v>102</v>
      </c>
      <c r="B123" s="108"/>
      <c r="C123" s="108"/>
      <c r="D123" s="111"/>
      <c r="E123" s="7">
        <v>125000</v>
      </c>
      <c r="F123" s="86"/>
      <c r="H123" s="86"/>
      <c r="J123" s="86"/>
      <c r="L123" s="86"/>
    </row>
    <row r="124" spans="1:12">
      <c r="A124" s="136" t="s">
        <v>103</v>
      </c>
      <c r="B124" s="108"/>
      <c r="C124" s="108"/>
      <c r="D124" s="111"/>
      <c r="E124" s="7">
        <v>75000</v>
      </c>
      <c r="F124" s="86"/>
      <c r="H124" s="86"/>
      <c r="J124" s="86"/>
      <c r="L124" s="86"/>
    </row>
    <row r="125" spans="1:12">
      <c r="A125" s="136" t="s">
        <v>104</v>
      </c>
      <c r="B125" s="108"/>
      <c r="C125" s="108"/>
      <c r="D125" s="111"/>
      <c r="E125" s="7"/>
      <c r="F125" s="86"/>
      <c r="H125" s="86"/>
      <c r="J125" s="86"/>
      <c r="L125" s="86"/>
    </row>
    <row r="126" spans="1:12">
      <c r="A126" s="136" t="s">
        <v>105</v>
      </c>
      <c r="B126" s="108"/>
      <c r="C126" s="108"/>
      <c r="D126" s="111"/>
      <c r="E126" s="7">
        <v>125000</v>
      </c>
      <c r="F126" s="86"/>
      <c r="H126" s="86"/>
      <c r="J126" s="86"/>
      <c r="L126" s="86"/>
    </row>
    <row r="127" spans="1:12">
      <c r="A127" s="136" t="s">
        <v>236</v>
      </c>
      <c r="B127" s="108"/>
      <c r="C127" s="108"/>
      <c r="D127" s="111"/>
      <c r="E127" s="7">
        <v>200000</v>
      </c>
      <c r="F127" s="86"/>
      <c r="H127" s="86"/>
      <c r="J127" s="86"/>
      <c r="L127" s="86"/>
    </row>
    <row r="128" spans="1:12" ht="15.75">
      <c r="A128" s="136" t="s">
        <v>76</v>
      </c>
      <c r="B128" s="108"/>
      <c r="C128" s="108"/>
      <c r="D128" s="111"/>
      <c r="E128" s="137">
        <v>40000</v>
      </c>
      <c r="F128" s="86"/>
      <c r="H128" s="86"/>
      <c r="J128" s="86"/>
      <c r="L128" s="86"/>
    </row>
    <row r="129" spans="1:12">
      <c r="A129" s="1320" t="s">
        <v>64</v>
      </c>
      <c r="B129" s="1321"/>
      <c r="C129" s="108"/>
      <c r="D129" s="111" t="s">
        <v>15</v>
      </c>
      <c r="E129" s="7">
        <f>SUM(E121:E128)</f>
        <v>3235000</v>
      </c>
      <c r="F129" s="86"/>
      <c r="H129" s="86"/>
      <c r="J129" s="86"/>
      <c r="L129" s="86"/>
    </row>
    <row r="130" spans="1:12">
      <c r="A130" s="138"/>
      <c r="B130" s="90"/>
      <c r="C130" s="90"/>
      <c r="D130" s="139"/>
      <c r="E130" s="112"/>
      <c r="F130" s="86"/>
      <c r="H130" s="86"/>
      <c r="J130" s="86"/>
      <c r="L130" s="86"/>
    </row>
    <row r="132" spans="1:12">
      <c r="A132" s="1357" t="s">
        <v>322</v>
      </c>
      <c r="B132" s="1358"/>
      <c r="C132" s="1358"/>
      <c r="D132" s="1358"/>
      <c r="E132" s="1359"/>
      <c r="F132" s="86"/>
      <c r="H132" s="86"/>
      <c r="J132" s="86"/>
      <c r="L132" s="86"/>
    </row>
    <row r="133" spans="1:12">
      <c r="A133" s="181"/>
      <c r="B133" s="92"/>
      <c r="C133" s="92"/>
      <c r="D133" s="116"/>
      <c r="E133" s="115"/>
      <c r="F133" s="86"/>
      <c r="H133" s="86"/>
      <c r="J133" s="86"/>
      <c r="L133" s="86"/>
    </row>
    <row r="134" spans="1:12">
      <c r="A134" s="1324" t="s">
        <v>60</v>
      </c>
      <c r="B134" s="1311"/>
      <c r="C134" s="108"/>
      <c r="D134" s="111"/>
      <c r="E134" s="98"/>
      <c r="F134" s="86"/>
      <c r="H134" s="86"/>
      <c r="J134" s="86"/>
      <c r="L134" s="86"/>
    </row>
    <row r="135" spans="1:12">
      <c r="A135" s="101" t="s">
        <v>233</v>
      </c>
      <c r="B135" s="108"/>
      <c r="C135" s="108"/>
      <c r="D135" s="111"/>
      <c r="E135" s="135" t="s">
        <v>300</v>
      </c>
      <c r="F135" s="86"/>
      <c r="H135" s="86"/>
      <c r="J135" s="86"/>
      <c r="L135" s="86"/>
    </row>
    <row r="136" spans="1:12">
      <c r="A136" s="101"/>
      <c r="B136" s="108"/>
      <c r="C136" s="108"/>
      <c r="D136" s="111"/>
      <c r="E136" s="98"/>
      <c r="F136" s="86"/>
      <c r="H136" s="86"/>
      <c r="J136" s="86"/>
      <c r="L136" s="86"/>
    </row>
    <row r="137" spans="1:12">
      <c r="A137" s="136" t="s">
        <v>61</v>
      </c>
      <c r="B137" s="108"/>
      <c r="C137" s="108"/>
      <c r="D137" s="111" t="s">
        <v>15</v>
      </c>
      <c r="E137" s="7">
        <v>181000</v>
      </c>
      <c r="F137" s="86"/>
      <c r="H137" s="86"/>
      <c r="J137" s="86"/>
      <c r="L137" s="86"/>
    </row>
    <row r="138" spans="1:12" ht="15.75">
      <c r="A138" s="136" t="s">
        <v>76</v>
      </c>
      <c r="B138" s="108"/>
      <c r="C138" s="108"/>
      <c r="D138" s="111"/>
      <c r="E138" s="137">
        <v>287000</v>
      </c>
      <c r="F138" s="86"/>
      <c r="H138" s="86"/>
      <c r="J138" s="86"/>
      <c r="L138" s="86"/>
    </row>
    <row r="139" spans="1:12">
      <c r="A139" s="1347" t="s">
        <v>64</v>
      </c>
      <c r="B139" s="1348"/>
      <c r="C139" s="90"/>
      <c r="D139" s="139" t="s">
        <v>15</v>
      </c>
      <c r="E139" s="105">
        <f>SUM(E137:E138)</f>
        <v>468000</v>
      </c>
      <c r="F139" s="86"/>
      <c r="H139" s="86"/>
      <c r="J139" s="86"/>
      <c r="L139" s="86"/>
    </row>
  </sheetData>
  <sheetProtection algorithmName="SHA-512" hashValue="WT41CCKdd6nL0zWZeUu2xLNXVDyIhClW2k0XjErt+GqTfIu7kraYsNzkCi08uEBfWUHzoniZV1I1Ln5bCcv15g==" saltValue="lEYY6HqNEZab+beagGEiDQ==" spinCount="100000" sheet="1" objects="1" scenarios="1"/>
  <mergeCells count="38">
    <mergeCell ref="A139:B139"/>
    <mergeCell ref="A108:B108"/>
    <mergeCell ref="A113:B113"/>
    <mergeCell ref="A116:E116"/>
    <mergeCell ref="A118:B118"/>
    <mergeCell ref="A129:B129"/>
    <mergeCell ref="A132:E132"/>
    <mergeCell ref="H13:I13"/>
    <mergeCell ref="A29:B29"/>
    <mergeCell ref="J13:K14"/>
    <mergeCell ref="L14:M14"/>
    <mergeCell ref="A134:B134"/>
    <mergeCell ref="A38:B38"/>
    <mergeCell ref="L13:M13"/>
    <mergeCell ref="H14:I14"/>
    <mergeCell ref="A36:B36"/>
    <mergeCell ref="A13:B13"/>
    <mergeCell ref="F13:G13"/>
    <mergeCell ref="D14:E14"/>
    <mergeCell ref="D13:E13"/>
    <mergeCell ref="F14:G14"/>
    <mergeCell ref="A84:B84"/>
    <mergeCell ref="A89:B89"/>
    <mergeCell ref="A4:M4"/>
    <mergeCell ref="A5:M5"/>
    <mergeCell ref="F8:M8"/>
    <mergeCell ref="F9:M9"/>
    <mergeCell ref="D12:E12"/>
    <mergeCell ref="F12:K12"/>
    <mergeCell ref="L12:M12"/>
    <mergeCell ref="A74:B74"/>
    <mergeCell ref="A79:B79"/>
    <mergeCell ref="C45:G45"/>
    <mergeCell ref="I44:M44"/>
    <mergeCell ref="I45:M45"/>
    <mergeCell ref="A44:B44"/>
    <mergeCell ref="A45:B45"/>
    <mergeCell ref="C44:G44"/>
  </mergeCells>
  <phoneticPr fontId="0" type="noConversion"/>
  <pageMargins left="0.2" right="0.2" top="1" bottom="1" header="0.5" footer="0.5"/>
  <pageSetup paperSize="14" fitToHeight="0" orientation="portrait" verticalDpi="300" copies="3" r:id="rId1"/>
  <headerFooter alignWithMargins="0">
    <oddHeader>&amp;RPage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V42"/>
  <sheetViews>
    <sheetView topLeftCell="A28" zoomScale="145" zoomScaleNormal="145" workbookViewId="0">
      <selection activeCell="N22" sqref="N22"/>
    </sheetView>
  </sheetViews>
  <sheetFormatPr defaultColWidth="9.140625" defaultRowHeight="13.5"/>
  <cols>
    <col min="1" max="1" width="11" style="86" customWidth="1"/>
    <col min="2" max="2" width="22.28515625" style="86" customWidth="1"/>
    <col min="3" max="3" width="8.42578125" style="86" customWidth="1"/>
    <col min="4" max="4" width="2.28515625" style="87" customWidth="1"/>
    <col min="5" max="5" width="9.7109375" style="86" customWidth="1"/>
    <col min="6" max="6" width="2.140625" style="87" customWidth="1"/>
    <col min="7" max="7" width="8.7109375" style="86" customWidth="1"/>
    <col min="8" max="8" width="2.140625" style="87" customWidth="1"/>
    <col min="9" max="9" width="9.28515625" style="86" customWidth="1"/>
    <col min="10" max="10" width="2.140625" style="87" customWidth="1"/>
    <col min="11" max="11" width="8.7109375" style="86" customWidth="1"/>
    <col min="12" max="12" width="2.28515625" style="87" customWidth="1"/>
    <col min="13" max="13" width="9.140625" style="86" customWidth="1"/>
    <col min="14" max="14" width="0.140625" style="966" customWidth="1"/>
    <col min="15" max="15" width="9.7109375" style="961" hidden="1" customWidth="1"/>
    <col min="16" max="16384" width="9.140625" style="86"/>
  </cols>
  <sheetData>
    <row r="1" spans="1:15">
      <c r="A1" s="86" t="s">
        <v>186</v>
      </c>
    </row>
    <row r="2" spans="1:15" ht="15" customHeight="1"/>
    <row r="3" spans="1:15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967"/>
      <c r="O3" s="967"/>
    </row>
    <row r="4" spans="1:15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967"/>
      <c r="O4" s="967"/>
    </row>
    <row r="5" spans="1:15" ht="9.75" customHeight="1"/>
    <row r="6" spans="1:15">
      <c r="A6" s="89" t="s">
        <v>85</v>
      </c>
      <c r="B6" s="90" t="s">
        <v>440</v>
      </c>
      <c r="C6" s="90"/>
    </row>
    <row r="7" spans="1:15" hidden="1">
      <c r="A7" s="86" t="s">
        <v>2</v>
      </c>
      <c r="B7" s="91" t="s">
        <v>441</v>
      </c>
      <c r="C7" s="91"/>
      <c r="F7" s="1338"/>
      <c r="G7" s="1338"/>
      <c r="H7" s="1338"/>
      <c r="I7" s="1338"/>
      <c r="J7" s="1338"/>
      <c r="K7" s="1338"/>
      <c r="L7" s="1338"/>
      <c r="M7" s="1338"/>
      <c r="N7" s="968"/>
      <c r="O7" s="968"/>
    </row>
    <row r="8" spans="1:15" hidden="1">
      <c r="A8" s="86" t="s">
        <v>3</v>
      </c>
      <c r="B8" s="91" t="s">
        <v>442</v>
      </c>
      <c r="C8" s="91"/>
      <c r="F8" s="1322"/>
      <c r="G8" s="1322"/>
      <c r="H8" s="1322"/>
      <c r="I8" s="1322"/>
      <c r="J8" s="1322"/>
      <c r="K8" s="1322"/>
      <c r="L8" s="1322"/>
      <c r="M8" s="1322"/>
      <c r="N8" s="962"/>
      <c r="O8" s="962"/>
    </row>
    <row r="9" spans="1:15" hidden="1">
      <c r="A9" s="86" t="s">
        <v>4</v>
      </c>
      <c r="B9" s="91" t="s">
        <v>404</v>
      </c>
      <c r="C9" s="91"/>
    </row>
    <row r="11" spans="1:15">
      <c r="A11" s="93"/>
      <c r="B11" s="94"/>
      <c r="C11" s="2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328" t="s">
        <v>494</v>
      </c>
      <c r="O11" s="1329"/>
    </row>
    <row r="12" spans="1:15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330"/>
      <c r="O12" s="1331"/>
    </row>
    <row r="13" spans="1:15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332"/>
      <c r="O13" s="1333"/>
    </row>
    <row r="14" spans="1:15">
      <c r="A14" s="114"/>
      <c r="B14" s="115"/>
      <c r="C14" s="140"/>
      <c r="D14" s="120"/>
      <c r="E14" s="117"/>
      <c r="F14" s="120"/>
      <c r="G14" s="117"/>
      <c r="H14" s="120"/>
      <c r="I14" s="117"/>
      <c r="J14" s="120"/>
      <c r="K14" s="117"/>
      <c r="L14" s="120"/>
      <c r="M14" s="117"/>
      <c r="N14" s="969"/>
      <c r="O14" s="970"/>
    </row>
    <row r="15" spans="1:15">
      <c r="A15" s="97" t="s">
        <v>282</v>
      </c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  <c r="N15" s="971"/>
      <c r="O15" s="1035"/>
    </row>
    <row r="16" spans="1:15">
      <c r="A16" s="101" t="s">
        <v>38</v>
      </c>
      <c r="B16" s="98"/>
      <c r="C16" s="102" t="s">
        <v>170</v>
      </c>
      <c r="D16" s="100" t="s">
        <v>15</v>
      </c>
      <c r="E16" s="7">
        <v>238483.38</v>
      </c>
      <c r="F16" s="100" t="s">
        <v>15</v>
      </c>
      <c r="G16" s="7">
        <v>59283.92</v>
      </c>
      <c r="H16" s="100" t="s">
        <v>15</v>
      </c>
      <c r="I16" s="7">
        <f>K16-G16</f>
        <v>290716.08</v>
      </c>
      <c r="J16" s="100" t="s">
        <v>15</v>
      </c>
      <c r="K16" s="7">
        <v>350000</v>
      </c>
      <c r="L16" s="100" t="s">
        <v>15</v>
      </c>
      <c r="M16" s="7">
        <v>300000</v>
      </c>
      <c r="N16" s="971" t="s">
        <v>15</v>
      </c>
      <c r="O16" s="1035">
        <f>M16-K16</f>
        <v>-50000</v>
      </c>
    </row>
    <row r="17" spans="1:22">
      <c r="A17" s="101"/>
      <c r="B17" s="98"/>
      <c r="C17" s="99"/>
      <c r="D17" s="100"/>
      <c r="E17" s="7"/>
      <c r="F17" s="100"/>
      <c r="G17" s="7"/>
      <c r="H17" s="100"/>
      <c r="I17" s="7"/>
      <c r="J17" s="100"/>
      <c r="K17" s="105"/>
      <c r="L17" s="104"/>
      <c r="M17" s="105"/>
      <c r="N17" s="973"/>
      <c r="O17" s="1036"/>
    </row>
    <row r="18" spans="1:22">
      <c r="A18" s="1325" t="s">
        <v>13</v>
      </c>
      <c r="B18" s="1326"/>
      <c r="C18" s="99"/>
      <c r="D18" s="109" t="s">
        <v>15</v>
      </c>
      <c r="E18" s="110">
        <f>SUM(E16:E17)</f>
        <v>238483.38</v>
      </c>
      <c r="F18" s="109" t="s">
        <v>15</v>
      </c>
      <c r="G18" s="110">
        <f>SUM(G16:G17)</f>
        <v>59283.92</v>
      </c>
      <c r="H18" s="109" t="s">
        <v>15</v>
      </c>
      <c r="I18" s="110">
        <f>SUM(I16:I17)</f>
        <v>290716.08</v>
      </c>
      <c r="J18" s="109" t="s">
        <v>15</v>
      </c>
      <c r="K18" s="110">
        <f>SUM(K16:K17)</f>
        <v>350000</v>
      </c>
      <c r="L18" s="109" t="s">
        <v>15</v>
      </c>
      <c r="M18" s="110">
        <f>SUM(M16:M17)</f>
        <v>300000</v>
      </c>
      <c r="N18" s="977" t="s">
        <v>15</v>
      </c>
      <c r="O18" s="1033">
        <f>SUM(O16:O17)</f>
        <v>-50000</v>
      </c>
    </row>
    <row r="19" spans="1:22" ht="17.25" customHeight="1">
      <c r="A19" s="101"/>
      <c r="B19" s="98"/>
      <c r="C19" s="99"/>
      <c r="D19" s="100"/>
      <c r="E19" s="7"/>
      <c r="F19" s="100"/>
      <c r="G19" s="7"/>
      <c r="H19" s="100"/>
      <c r="I19" s="7"/>
      <c r="J19" s="100"/>
      <c r="K19" s="7"/>
      <c r="L19" s="100"/>
      <c r="M19" s="7"/>
      <c r="N19" s="971"/>
      <c r="O19" s="1035"/>
    </row>
    <row r="20" spans="1:22">
      <c r="A20" s="121" t="s">
        <v>283</v>
      </c>
      <c r="B20" s="119"/>
      <c r="C20" s="99"/>
      <c r="D20" s="122"/>
      <c r="E20" s="123"/>
      <c r="F20" s="122"/>
      <c r="G20" s="123"/>
      <c r="H20" s="122"/>
      <c r="I20" s="123"/>
      <c r="J20" s="122"/>
      <c r="K20" s="123"/>
      <c r="L20" s="122"/>
      <c r="M20" s="123"/>
      <c r="N20" s="979"/>
      <c r="O20" s="1040"/>
    </row>
    <row r="21" spans="1:22">
      <c r="A21" s="124" t="s">
        <v>51</v>
      </c>
      <c r="B21" s="119"/>
      <c r="C21" s="102" t="s">
        <v>149</v>
      </c>
      <c r="D21" s="100" t="s">
        <v>15</v>
      </c>
      <c r="E21" s="7"/>
      <c r="F21" s="100" t="s">
        <v>15</v>
      </c>
      <c r="G21" s="7"/>
      <c r="H21" s="100" t="s">
        <v>15</v>
      </c>
      <c r="I21" s="7">
        <f t="shared" ref="I21" si="0">K21-G21</f>
        <v>0</v>
      </c>
      <c r="J21" s="100" t="s">
        <v>15</v>
      </c>
      <c r="K21" s="7">
        <v>0</v>
      </c>
      <c r="L21" s="100" t="s">
        <v>15</v>
      </c>
      <c r="M21" s="7">
        <v>0</v>
      </c>
      <c r="N21" s="971" t="s">
        <v>15</v>
      </c>
      <c r="O21" s="1035">
        <v>0</v>
      </c>
    </row>
    <row r="22" spans="1:22">
      <c r="A22" s="124" t="s">
        <v>152</v>
      </c>
      <c r="B22" s="119"/>
      <c r="C22" s="102" t="s">
        <v>150</v>
      </c>
      <c r="D22" s="122"/>
      <c r="E22" s="7"/>
      <c r="F22" s="122"/>
      <c r="G22" s="7"/>
      <c r="H22" s="122"/>
      <c r="I22" s="7"/>
      <c r="J22" s="122"/>
      <c r="K22" s="7"/>
      <c r="L22" s="122"/>
      <c r="M22" s="7"/>
      <c r="N22" s="979"/>
      <c r="O22" s="1035"/>
    </row>
    <row r="23" spans="1:22">
      <c r="A23" s="124" t="s">
        <v>409</v>
      </c>
      <c r="B23" s="119"/>
      <c r="C23" s="102" t="s">
        <v>151</v>
      </c>
      <c r="D23" s="122"/>
      <c r="E23" s="7"/>
      <c r="F23" s="122"/>
      <c r="G23" s="7"/>
      <c r="H23" s="122"/>
      <c r="I23" s="7"/>
      <c r="J23" s="122"/>
      <c r="K23" s="7"/>
      <c r="L23" s="122"/>
      <c r="M23" s="7"/>
      <c r="N23" s="979"/>
      <c r="O23" s="1035"/>
    </row>
    <row r="24" spans="1:22">
      <c r="A24" s="124" t="s">
        <v>1068</v>
      </c>
      <c r="B24" s="761"/>
      <c r="C24" s="102"/>
      <c r="D24" s="100"/>
      <c r="E24" s="7">
        <v>0</v>
      </c>
      <c r="F24" s="100"/>
      <c r="G24" s="7">
        <v>0</v>
      </c>
      <c r="H24" s="100"/>
      <c r="I24" s="7">
        <f>K24-G24</f>
        <v>50000</v>
      </c>
      <c r="J24" s="100"/>
      <c r="K24" s="7">
        <v>50000</v>
      </c>
      <c r="L24" s="100"/>
      <c r="M24" s="7"/>
      <c r="N24" s="971"/>
      <c r="O24" s="1035">
        <v>0</v>
      </c>
    </row>
    <row r="25" spans="1:22">
      <c r="A25" s="1325" t="s">
        <v>16</v>
      </c>
      <c r="B25" s="1326"/>
      <c r="C25" s="99"/>
      <c r="D25" s="109" t="s">
        <v>15</v>
      </c>
      <c r="E25" s="110">
        <f>SUM(E21:E24)</f>
        <v>0</v>
      </c>
      <c r="F25" s="109" t="s">
        <v>15</v>
      </c>
      <c r="G25" s="110">
        <f>SUM(G21:G24)</f>
        <v>0</v>
      </c>
      <c r="H25" s="109" t="s">
        <v>15</v>
      </c>
      <c r="I25" s="110">
        <f>SUM(I21:I24)</f>
        <v>50000</v>
      </c>
      <c r="J25" s="109" t="s">
        <v>15</v>
      </c>
      <c r="K25" s="110">
        <f>SUM(K21:K24)</f>
        <v>50000</v>
      </c>
      <c r="L25" s="109" t="s">
        <v>15</v>
      </c>
      <c r="M25" s="110">
        <f>SUM(M21:M24)</f>
        <v>0</v>
      </c>
      <c r="N25" s="977" t="s">
        <v>15</v>
      </c>
      <c r="O25" s="1033">
        <f>SUM(O21:O24)</f>
        <v>0</v>
      </c>
    </row>
    <row r="26" spans="1:22">
      <c r="A26" s="155"/>
      <c r="B26" s="119"/>
      <c r="C26" s="99"/>
      <c r="D26" s="144"/>
      <c r="E26" s="174"/>
      <c r="F26" s="144"/>
      <c r="G26" s="174"/>
      <c r="H26" s="144"/>
      <c r="I26" s="174"/>
      <c r="J26" s="144"/>
      <c r="K26" s="174"/>
      <c r="L26" s="144"/>
      <c r="M26" s="174"/>
      <c r="N26" s="997"/>
      <c r="O26" s="1037"/>
    </row>
    <row r="27" spans="1:22">
      <c r="A27" s="1336" t="s">
        <v>277</v>
      </c>
      <c r="B27" s="1337"/>
      <c r="C27" s="177"/>
      <c r="D27" s="125" t="s">
        <v>15</v>
      </c>
      <c r="E27" s="126">
        <f>E25+E18</f>
        <v>238483.38</v>
      </c>
      <c r="F27" s="125" t="s">
        <v>15</v>
      </c>
      <c r="G27" s="126">
        <f>G25+G18</f>
        <v>59283.92</v>
      </c>
      <c r="H27" s="125" t="s">
        <v>15</v>
      </c>
      <c r="I27" s="126">
        <f>I25+I18</f>
        <v>340716.08</v>
      </c>
      <c r="J27" s="125" t="s">
        <v>15</v>
      </c>
      <c r="K27" s="126">
        <f>K25+K18</f>
        <v>400000</v>
      </c>
      <c r="L27" s="125" t="s">
        <v>15</v>
      </c>
      <c r="M27" s="126">
        <f>M25+M18</f>
        <v>300000</v>
      </c>
      <c r="N27" s="981" t="s">
        <v>15</v>
      </c>
      <c r="O27" s="1044">
        <f>O25+O18</f>
        <v>-50000</v>
      </c>
    </row>
    <row r="28" spans="1:22" ht="15.75" customHeight="1">
      <c r="A28" s="62" t="s">
        <v>1623</v>
      </c>
      <c r="B28" s="147"/>
      <c r="C28" s="108"/>
      <c r="D28" s="111"/>
      <c r="E28" s="157"/>
      <c r="F28" s="111"/>
      <c r="G28" s="157"/>
      <c r="H28" s="111"/>
      <c r="I28" s="157"/>
      <c r="J28" s="111"/>
      <c r="K28" s="157"/>
      <c r="L28" s="111"/>
      <c r="M28" s="157"/>
      <c r="N28" s="983"/>
      <c r="O28" s="984"/>
    </row>
    <row r="30" spans="1:22" s="127" customFormat="1">
      <c r="A30" s="127" t="s">
        <v>187</v>
      </c>
      <c r="C30" s="128" t="s">
        <v>188</v>
      </c>
      <c r="F30" s="129"/>
      <c r="I30" s="127" t="s">
        <v>190</v>
      </c>
      <c r="L30" s="129"/>
      <c r="N30" s="964"/>
      <c r="O30" s="985"/>
      <c r="P30" s="129"/>
      <c r="R30" s="130"/>
      <c r="S30" s="130"/>
      <c r="T30" s="130"/>
      <c r="U30" s="130"/>
      <c r="V30" s="130"/>
    </row>
    <row r="33" spans="1:17" ht="15" customHeight="1">
      <c r="B33" s="185"/>
      <c r="F33" s="185"/>
      <c r="G33" s="185"/>
      <c r="H33" s="185"/>
      <c r="I33" s="185"/>
      <c r="J33" s="185"/>
      <c r="K33" s="185"/>
      <c r="L33" s="185"/>
      <c r="M33" s="185"/>
      <c r="N33" s="967"/>
      <c r="O33" s="967"/>
    </row>
    <row r="34" spans="1:17" s="89" customFormat="1">
      <c r="A34" s="1323" t="s">
        <v>1611</v>
      </c>
      <c r="B34" s="1323"/>
      <c r="C34" s="1323" t="s">
        <v>1584</v>
      </c>
      <c r="D34" s="1323"/>
      <c r="E34" s="1323"/>
      <c r="F34" s="1323"/>
      <c r="G34" s="1323"/>
      <c r="H34" s="131"/>
      <c r="I34" s="1323" t="str">
        <f>masso!I72</f>
        <v>(Sgd.) ATTY. JOSE JOEL P. DOROMAL</v>
      </c>
      <c r="J34" s="1323"/>
      <c r="K34" s="1323"/>
      <c r="L34" s="1323"/>
      <c r="M34" s="1323"/>
      <c r="N34" s="967"/>
      <c r="O34" s="967"/>
    </row>
    <row r="35" spans="1:17">
      <c r="A35" s="1322" t="s">
        <v>514</v>
      </c>
      <c r="B35" s="1322"/>
      <c r="C35" s="1322" t="s">
        <v>206</v>
      </c>
      <c r="D35" s="1322"/>
      <c r="E35" s="1322"/>
      <c r="F35" s="1322"/>
      <c r="G35" s="1322"/>
      <c r="I35" s="1322" t="s">
        <v>192</v>
      </c>
      <c r="J35" s="1322"/>
      <c r="K35" s="1322"/>
      <c r="L35" s="1322"/>
      <c r="M35" s="1322"/>
      <c r="N35" s="962"/>
      <c r="O35" s="962"/>
    </row>
    <row r="36" spans="1:17">
      <c r="G36" s="86" t="s">
        <v>11</v>
      </c>
      <c r="I36" s="86" t="s">
        <v>11</v>
      </c>
      <c r="K36" s="86" t="s">
        <v>11</v>
      </c>
    </row>
    <row r="42" spans="1:17">
      <c r="Q42" s="86" t="s">
        <v>11</v>
      </c>
    </row>
  </sheetData>
  <sheetProtection algorithmName="SHA-512" hashValue="1mnc5Bk+eYgW5nmVdOHxvaDfCNTLclri2rteVE01/J3NBx5sFVC6EkF02pu9jTjH0LnXdDmeB5xyLZxrJ9OLqg==" saltValue="3YeL2FwuRKNGiEbwtOZXjg==" spinCount="100000" sheet="1" objects="1" scenarios="1"/>
  <mergeCells count="27">
    <mergeCell ref="N11:O13"/>
    <mergeCell ref="A27:B27"/>
    <mergeCell ref="A18:B18"/>
    <mergeCell ref="A25:B25"/>
    <mergeCell ref="L13:M13"/>
    <mergeCell ref="D13:E13"/>
    <mergeCell ref="L12:M12"/>
    <mergeCell ref="F12:G12"/>
    <mergeCell ref="F13:G13"/>
    <mergeCell ref="A12:B12"/>
    <mergeCell ref="D12:E12"/>
    <mergeCell ref="H12:I12"/>
    <mergeCell ref="H13:I13"/>
    <mergeCell ref="J12:K13"/>
    <mergeCell ref="A3:M3"/>
    <mergeCell ref="A4:M4"/>
    <mergeCell ref="D11:E11"/>
    <mergeCell ref="L11:M11"/>
    <mergeCell ref="F7:M7"/>
    <mergeCell ref="F8:M8"/>
    <mergeCell ref="F11:K11"/>
    <mergeCell ref="A34:B34"/>
    <mergeCell ref="A35:B35"/>
    <mergeCell ref="C34:G34"/>
    <mergeCell ref="C35:G35"/>
    <mergeCell ref="I34:M34"/>
    <mergeCell ref="I35:M35"/>
  </mergeCells>
  <phoneticPr fontId="0" type="noConversion"/>
  <pageMargins left="0.5" right="0.2" top="1" bottom="1" header="0.5" footer="0.5"/>
  <pageSetup paperSize="14" orientation="portrait" verticalDpi="300" copies="3" r:id="rId1"/>
  <headerFooter alignWithMargins="0">
    <oddHeader>&amp;RPage 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  <pageSetUpPr fitToPage="1"/>
  </sheetPr>
  <dimension ref="A1:V47"/>
  <sheetViews>
    <sheetView topLeftCell="A38" zoomScale="160" zoomScaleNormal="160" workbookViewId="0">
      <selection activeCell="N22" sqref="N22"/>
    </sheetView>
  </sheetViews>
  <sheetFormatPr defaultColWidth="9.140625" defaultRowHeight="13.5"/>
  <cols>
    <col min="1" max="1" width="11" style="227" customWidth="1"/>
    <col min="2" max="2" width="27.42578125" style="227" customWidth="1"/>
    <col min="3" max="3" width="9.28515625" style="227" customWidth="1"/>
    <col min="4" max="4" width="2.28515625" style="245" customWidth="1"/>
    <col min="5" max="5" width="8" style="227" customWidth="1"/>
    <col min="6" max="6" width="2.28515625" style="245" customWidth="1"/>
    <col min="7" max="7" width="8.140625" style="227" customWidth="1"/>
    <col min="8" max="8" width="2.28515625" style="245" customWidth="1"/>
    <col min="9" max="9" width="8.85546875" style="227" customWidth="1"/>
    <col min="10" max="10" width="2.28515625" style="245" customWidth="1"/>
    <col min="11" max="11" width="8.85546875" style="227" customWidth="1"/>
    <col min="12" max="12" width="2.28515625" style="245" customWidth="1"/>
    <col min="13" max="13" width="10" style="227" customWidth="1"/>
    <col min="14" max="14" width="2.28515625" style="1069" hidden="1" customWidth="1"/>
    <col min="15" max="15" width="10" style="1070" hidden="1" customWidth="1"/>
    <col min="16" max="16" width="9.140625" style="1070"/>
    <col min="17" max="16384" width="9.140625" style="227"/>
  </cols>
  <sheetData>
    <row r="1" spans="1:15">
      <c r="A1" s="227" t="s">
        <v>186</v>
      </c>
    </row>
    <row r="3" spans="1:15" ht="6.75" customHeight="1"/>
    <row r="4" spans="1:15">
      <c r="A4" s="1360" t="s">
        <v>195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071"/>
      <c r="O4" s="1071"/>
    </row>
    <row r="5" spans="1:15">
      <c r="A5" s="1360" t="s">
        <v>401</v>
      </c>
      <c r="B5" s="1360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071"/>
      <c r="O5" s="1071"/>
    </row>
    <row r="6" spans="1:15" ht="10.5" customHeight="1"/>
    <row r="7" spans="1:15">
      <c r="A7" s="246" t="s">
        <v>85</v>
      </c>
      <c r="B7" s="247" t="s">
        <v>443</v>
      </c>
      <c r="C7" s="247"/>
    </row>
    <row r="8" spans="1:15" hidden="1">
      <c r="A8" s="227" t="s">
        <v>2</v>
      </c>
      <c r="B8" s="248" t="s">
        <v>444</v>
      </c>
      <c r="C8" s="248"/>
      <c r="F8" s="1361"/>
      <c r="G8" s="1361"/>
      <c r="H8" s="1361"/>
      <c r="I8" s="1361"/>
      <c r="J8" s="1361"/>
      <c r="K8" s="1361"/>
      <c r="L8" s="1361"/>
      <c r="M8" s="1361"/>
      <c r="N8" s="1072"/>
      <c r="O8" s="1072"/>
    </row>
    <row r="9" spans="1:15" hidden="1">
      <c r="A9" s="227" t="s">
        <v>3</v>
      </c>
      <c r="B9" s="248" t="s">
        <v>445</v>
      </c>
      <c r="C9" s="248"/>
      <c r="F9" s="1362"/>
      <c r="G9" s="1362"/>
      <c r="H9" s="1362"/>
      <c r="I9" s="1362"/>
      <c r="J9" s="1362"/>
      <c r="K9" s="1362"/>
      <c r="L9" s="1362"/>
      <c r="M9" s="1362"/>
      <c r="N9" s="1073"/>
      <c r="O9" s="1073"/>
    </row>
    <row r="10" spans="1:15" hidden="1">
      <c r="A10" s="227" t="s">
        <v>4</v>
      </c>
      <c r="B10" s="248" t="s">
        <v>404</v>
      </c>
      <c r="C10" s="248"/>
    </row>
    <row r="12" spans="1:15">
      <c r="A12" s="249"/>
      <c r="B12" s="250"/>
      <c r="C12" s="251" t="s">
        <v>5</v>
      </c>
      <c r="D12" s="1300" t="s">
        <v>7</v>
      </c>
      <c r="E12" s="1300"/>
      <c r="F12" s="1301" t="s">
        <v>1304</v>
      </c>
      <c r="G12" s="1302"/>
      <c r="H12" s="1302"/>
      <c r="I12" s="1302"/>
      <c r="J12" s="1302"/>
      <c r="K12" s="1303"/>
      <c r="L12" s="1300" t="s">
        <v>8</v>
      </c>
      <c r="M12" s="1300"/>
      <c r="N12" s="1328" t="s">
        <v>494</v>
      </c>
      <c r="O12" s="1329"/>
    </row>
    <row r="13" spans="1:15">
      <c r="A13" s="1367" t="s">
        <v>34</v>
      </c>
      <c r="B13" s="1368"/>
      <c r="C13" s="252" t="s">
        <v>6</v>
      </c>
      <c r="D13" s="1304">
        <v>2021</v>
      </c>
      <c r="E13" s="1304"/>
      <c r="F13" s="1286" t="s">
        <v>184</v>
      </c>
      <c r="G13" s="1287"/>
      <c r="H13" s="1286" t="s">
        <v>185</v>
      </c>
      <c r="I13" s="1287"/>
      <c r="J13" s="1288" t="s">
        <v>64</v>
      </c>
      <c r="K13" s="1289"/>
      <c r="L13" s="1304">
        <v>2023</v>
      </c>
      <c r="M13" s="1304"/>
      <c r="N13" s="1330"/>
      <c r="O13" s="1331"/>
    </row>
    <row r="14" spans="1:15">
      <c r="A14" s="253"/>
      <c r="B14" s="254"/>
      <c r="C14" s="255"/>
      <c r="D14" s="1305" t="s">
        <v>10</v>
      </c>
      <c r="E14" s="1305"/>
      <c r="F14" s="1306" t="s">
        <v>10</v>
      </c>
      <c r="G14" s="1307"/>
      <c r="H14" s="1306" t="s">
        <v>9</v>
      </c>
      <c r="I14" s="1307"/>
      <c r="J14" s="1290"/>
      <c r="K14" s="1291"/>
      <c r="L14" s="1305" t="s">
        <v>27</v>
      </c>
      <c r="M14" s="1305"/>
      <c r="N14" s="1332"/>
      <c r="O14" s="1333"/>
    </row>
    <row r="15" spans="1:15" ht="12" customHeight="1">
      <c r="A15" s="223"/>
      <c r="B15" s="224"/>
      <c r="C15" s="225"/>
      <c r="D15" s="226"/>
      <c r="E15" s="153"/>
      <c r="F15" s="226"/>
      <c r="G15" s="153"/>
      <c r="H15" s="226"/>
      <c r="I15" s="153"/>
      <c r="J15" s="226"/>
      <c r="K15" s="153"/>
      <c r="L15" s="226"/>
      <c r="M15" s="153"/>
      <c r="N15" s="1074"/>
      <c r="O15" s="1075"/>
    </row>
    <row r="16" spans="1:15">
      <c r="A16" s="228" t="s">
        <v>282</v>
      </c>
      <c r="B16" s="229"/>
      <c r="C16" s="230"/>
      <c r="D16" s="231"/>
      <c r="E16" s="141"/>
      <c r="F16" s="231"/>
      <c r="G16" s="141"/>
      <c r="H16" s="231"/>
      <c r="I16" s="141"/>
      <c r="J16" s="231"/>
      <c r="K16" s="141"/>
      <c r="L16" s="231"/>
      <c r="M16" s="141"/>
      <c r="N16" s="1076"/>
      <c r="O16" s="972"/>
    </row>
    <row r="17" spans="1:17">
      <c r="A17" s="232" t="s">
        <v>41</v>
      </c>
      <c r="B17" s="229"/>
      <c r="C17" s="233" t="s">
        <v>126</v>
      </c>
      <c r="D17" s="231" t="s">
        <v>15</v>
      </c>
      <c r="E17" s="141">
        <v>0</v>
      </c>
      <c r="F17" s="231" t="s">
        <v>15</v>
      </c>
      <c r="G17" s="141">
        <v>0</v>
      </c>
      <c r="H17" s="231" t="s">
        <v>15</v>
      </c>
      <c r="I17" s="141">
        <f t="shared" ref="I17:I29" si="0">K17-G17</f>
        <v>0</v>
      </c>
      <c r="J17" s="231" t="s">
        <v>15</v>
      </c>
      <c r="K17" s="141">
        <v>0</v>
      </c>
      <c r="L17" s="231" t="s">
        <v>15</v>
      </c>
      <c r="M17" s="141">
        <v>20000</v>
      </c>
      <c r="N17" s="1077" t="s">
        <v>15</v>
      </c>
      <c r="O17" s="974">
        <f>M17-K17</f>
        <v>20000</v>
      </c>
    </row>
    <row r="18" spans="1:17">
      <c r="A18" s="232" t="s">
        <v>42</v>
      </c>
      <c r="B18" s="229"/>
      <c r="C18" s="233" t="s">
        <v>127</v>
      </c>
      <c r="D18" s="231"/>
      <c r="E18" s="143">
        <v>0</v>
      </c>
      <c r="F18" s="231"/>
      <c r="G18" s="143">
        <v>0</v>
      </c>
      <c r="H18" s="231"/>
      <c r="I18" s="141">
        <f t="shared" si="0"/>
        <v>0</v>
      </c>
      <c r="J18" s="231"/>
      <c r="K18" s="141">
        <v>0</v>
      </c>
      <c r="L18" s="231"/>
      <c r="M18" s="141">
        <v>20000</v>
      </c>
      <c r="N18" s="1078"/>
      <c r="O18" s="974">
        <f t="shared" ref="O18:O24" si="1">M18-K18</f>
        <v>20000</v>
      </c>
    </row>
    <row r="19" spans="1:17">
      <c r="A19" s="232" t="s">
        <v>28</v>
      </c>
      <c r="B19" s="229"/>
      <c r="C19" s="233" t="s">
        <v>128</v>
      </c>
      <c r="D19" s="231"/>
      <c r="E19" s="143">
        <v>9026</v>
      </c>
      <c r="F19" s="231"/>
      <c r="G19" s="143">
        <v>0</v>
      </c>
      <c r="H19" s="231"/>
      <c r="I19" s="141">
        <f t="shared" si="0"/>
        <v>40000</v>
      </c>
      <c r="J19" s="231"/>
      <c r="K19" s="141">
        <v>40000</v>
      </c>
      <c r="L19" s="231"/>
      <c r="M19" s="141">
        <v>50000</v>
      </c>
      <c r="N19" s="1078"/>
      <c r="O19" s="974">
        <f t="shared" si="1"/>
        <v>10000</v>
      </c>
    </row>
    <row r="20" spans="1:17">
      <c r="A20" s="232" t="s">
        <v>755</v>
      </c>
      <c r="B20" s="229"/>
      <c r="C20" s="233" t="s">
        <v>129</v>
      </c>
      <c r="D20" s="231"/>
      <c r="E20" s="143">
        <v>0</v>
      </c>
      <c r="F20" s="231"/>
      <c r="G20" s="143">
        <v>0</v>
      </c>
      <c r="H20" s="231"/>
      <c r="I20" s="141">
        <f t="shared" si="0"/>
        <v>10000</v>
      </c>
      <c r="J20" s="231"/>
      <c r="K20" s="141">
        <v>10000</v>
      </c>
      <c r="L20" s="231"/>
      <c r="M20" s="141">
        <v>50000</v>
      </c>
      <c r="N20" s="1078"/>
      <c r="O20" s="974">
        <f t="shared" si="1"/>
        <v>40000</v>
      </c>
    </row>
    <row r="21" spans="1:17">
      <c r="A21" s="101" t="s">
        <v>497</v>
      </c>
      <c r="B21" s="98"/>
      <c r="C21" s="102" t="s">
        <v>174</v>
      </c>
      <c r="D21" s="100"/>
      <c r="E21" s="157">
        <v>1340</v>
      </c>
      <c r="F21" s="100"/>
      <c r="G21" s="157">
        <v>0</v>
      </c>
      <c r="H21" s="100"/>
      <c r="I21" s="141">
        <f t="shared" si="0"/>
        <v>20000</v>
      </c>
      <c r="J21" s="100"/>
      <c r="K21" s="7">
        <v>20000</v>
      </c>
      <c r="L21" s="100"/>
      <c r="M21" s="7">
        <v>0</v>
      </c>
      <c r="N21" s="975"/>
      <c r="O21" s="974">
        <f t="shared" si="1"/>
        <v>-20000</v>
      </c>
    </row>
    <row r="22" spans="1:17">
      <c r="A22" s="232" t="s">
        <v>135</v>
      </c>
      <c r="B22" s="229"/>
      <c r="C22" s="233" t="s">
        <v>134</v>
      </c>
      <c r="D22" s="231"/>
      <c r="E22" s="143">
        <v>6530.99</v>
      </c>
      <c r="F22" s="231"/>
      <c r="G22" s="143">
        <v>856</v>
      </c>
      <c r="H22" s="231"/>
      <c r="I22" s="141">
        <f t="shared" si="0"/>
        <v>39144</v>
      </c>
      <c r="J22" s="231"/>
      <c r="K22" s="141">
        <v>40000</v>
      </c>
      <c r="L22" s="231"/>
      <c r="M22" s="141">
        <v>31000</v>
      </c>
      <c r="N22" s="1078"/>
      <c r="O22" s="974">
        <f t="shared" si="1"/>
        <v>-9000</v>
      </c>
    </row>
    <row r="23" spans="1:17">
      <c r="A23" s="232" t="s">
        <v>0</v>
      </c>
      <c r="B23" s="229"/>
      <c r="C23" s="233" t="s">
        <v>164</v>
      </c>
      <c r="D23" s="231"/>
      <c r="E23" s="143">
        <v>0</v>
      </c>
      <c r="F23" s="231"/>
      <c r="G23" s="143">
        <v>0</v>
      </c>
      <c r="H23" s="231"/>
      <c r="I23" s="141">
        <f t="shared" si="0"/>
        <v>0</v>
      </c>
      <c r="J23" s="231"/>
      <c r="K23" s="141">
        <v>0</v>
      </c>
      <c r="L23" s="231"/>
      <c r="M23" s="141">
        <v>0</v>
      </c>
      <c r="N23" s="1078"/>
      <c r="O23" s="974">
        <f t="shared" si="1"/>
        <v>0</v>
      </c>
    </row>
    <row r="24" spans="1:17" s="8" customFormat="1" ht="11.25" customHeight="1">
      <c r="A24" s="101" t="s">
        <v>37</v>
      </c>
      <c r="B24" s="98"/>
      <c r="C24" s="102" t="s">
        <v>139</v>
      </c>
      <c r="D24" s="111"/>
      <c r="E24" s="7">
        <v>1428</v>
      </c>
      <c r="F24" s="157"/>
      <c r="G24" s="7">
        <v>4800</v>
      </c>
      <c r="H24" s="136"/>
      <c r="I24" s="7">
        <f t="shared" si="0"/>
        <v>7200</v>
      </c>
      <c r="J24" s="111"/>
      <c r="K24" s="7">
        <v>12000</v>
      </c>
      <c r="L24" s="100"/>
      <c r="M24" s="7">
        <v>18000</v>
      </c>
      <c r="N24" s="975"/>
      <c r="O24" s="974">
        <f t="shared" si="1"/>
        <v>6000</v>
      </c>
      <c r="P24" s="961"/>
    </row>
    <row r="25" spans="1:17">
      <c r="A25" s="232" t="s">
        <v>142</v>
      </c>
      <c r="B25" s="229"/>
      <c r="C25" s="235" t="s">
        <v>141</v>
      </c>
      <c r="D25" s="231"/>
      <c r="E25" s="143">
        <v>0</v>
      </c>
      <c r="F25" s="231"/>
      <c r="G25" s="143">
        <v>0</v>
      </c>
      <c r="H25" s="231"/>
      <c r="I25" s="141">
        <f t="shared" si="0"/>
        <v>10000</v>
      </c>
      <c r="J25" s="231"/>
      <c r="K25" s="141">
        <v>10000</v>
      </c>
      <c r="L25" s="231"/>
      <c r="M25" s="141">
        <v>10000</v>
      </c>
      <c r="N25" s="1078"/>
      <c r="O25" s="974">
        <f>M25-K25</f>
        <v>0</v>
      </c>
    </row>
    <row r="26" spans="1:17" s="86" customFormat="1" ht="12" customHeight="1">
      <c r="A26" s="101" t="s">
        <v>138</v>
      </c>
      <c r="B26" s="98"/>
      <c r="C26" s="102" t="s">
        <v>137</v>
      </c>
      <c r="D26" s="100"/>
      <c r="E26" s="7">
        <v>0</v>
      </c>
      <c r="F26" s="111"/>
      <c r="G26" s="7">
        <v>0</v>
      </c>
      <c r="H26" s="111"/>
      <c r="I26" s="141">
        <f t="shared" si="0"/>
        <v>0</v>
      </c>
      <c r="J26" s="111"/>
      <c r="K26" s="7"/>
      <c r="L26" s="100"/>
      <c r="M26" s="7"/>
      <c r="N26" s="975"/>
      <c r="O26" s="996"/>
      <c r="P26" s="963"/>
      <c r="Q26" s="103">
        <f>M26*0.1</f>
        <v>0</v>
      </c>
    </row>
    <row r="27" spans="1:17">
      <c r="A27" s="232" t="s">
        <v>33</v>
      </c>
      <c r="B27" s="762"/>
      <c r="C27" s="233" t="s">
        <v>148</v>
      </c>
      <c r="D27" s="231"/>
      <c r="E27" s="143"/>
      <c r="F27" s="231"/>
      <c r="G27" s="143"/>
      <c r="H27" s="231"/>
      <c r="I27" s="141"/>
      <c r="J27" s="231"/>
      <c r="K27" s="141"/>
      <c r="L27" s="231"/>
      <c r="M27" s="141"/>
      <c r="N27" s="1078"/>
      <c r="O27" s="976"/>
    </row>
    <row r="28" spans="1:17">
      <c r="A28" s="232" t="s">
        <v>11</v>
      </c>
      <c r="B28" s="294" t="s">
        <v>342</v>
      </c>
      <c r="C28" s="233"/>
      <c r="D28" s="231"/>
      <c r="E28" s="143">
        <v>6110</v>
      </c>
      <c r="F28" s="231"/>
      <c r="G28" s="143">
        <v>0</v>
      </c>
      <c r="H28" s="231"/>
      <c r="I28" s="141">
        <f t="shared" ref="I28" si="2">K28-G28</f>
        <v>0</v>
      </c>
      <c r="J28" s="231"/>
      <c r="K28" s="141">
        <v>0</v>
      </c>
      <c r="L28" s="231"/>
      <c r="M28" s="141">
        <v>0</v>
      </c>
      <c r="N28" s="1078"/>
      <c r="O28" s="974">
        <f t="shared" ref="O28:O29" si="3">M28-K28</f>
        <v>0</v>
      </c>
    </row>
    <row r="29" spans="1:17">
      <c r="A29" s="232" t="s">
        <v>11</v>
      </c>
      <c r="B29" s="294" t="s">
        <v>510</v>
      </c>
      <c r="C29" s="233"/>
      <c r="D29" s="231"/>
      <c r="E29" s="143">
        <v>42000</v>
      </c>
      <c r="F29" s="231"/>
      <c r="G29" s="143">
        <v>21000</v>
      </c>
      <c r="H29" s="231"/>
      <c r="I29" s="141">
        <f t="shared" si="0"/>
        <v>21000</v>
      </c>
      <c r="J29" s="231"/>
      <c r="K29" s="142">
        <v>42000</v>
      </c>
      <c r="L29" s="234"/>
      <c r="M29" s="142">
        <v>60000</v>
      </c>
      <c r="N29" s="1078"/>
      <c r="O29" s="974">
        <f t="shared" si="3"/>
        <v>18000</v>
      </c>
    </row>
    <row r="30" spans="1:17">
      <c r="A30" s="1363" t="s">
        <v>13</v>
      </c>
      <c r="B30" s="1364"/>
      <c r="C30" s="233"/>
      <c r="D30" s="237" t="s">
        <v>15</v>
      </c>
      <c r="E30" s="154">
        <f>SUM(E17:E29)</f>
        <v>66434.989999999991</v>
      </c>
      <c r="F30" s="237" t="s">
        <v>15</v>
      </c>
      <c r="G30" s="154">
        <f>SUM(G17:G29)</f>
        <v>26656</v>
      </c>
      <c r="H30" s="237" t="s">
        <v>15</v>
      </c>
      <c r="I30" s="154">
        <f>SUM(I17:I29)</f>
        <v>147344</v>
      </c>
      <c r="J30" s="237" t="s">
        <v>15</v>
      </c>
      <c r="K30" s="154">
        <f>SUM(K17:K29)</f>
        <v>174000</v>
      </c>
      <c r="L30" s="238" t="s">
        <v>15</v>
      </c>
      <c r="M30" s="154">
        <f>SUM(M17:M29)</f>
        <v>259000</v>
      </c>
      <c r="N30" s="1079" t="s">
        <v>15</v>
      </c>
      <c r="O30" s="978">
        <f>SUM(O17:O29)</f>
        <v>85000</v>
      </c>
      <c r="P30" s="1134">
        <f>M30-K30</f>
        <v>85000</v>
      </c>
    </row>
    <row r="31" spans="1:17">
      <c r="A31" s="239"/>
      <c r="B31" s="236"/>
      <c r="C31" s="233"/>
      <c r="D31" s="240"/>
      <c r="E31" s="152"/>
      <c r="F31" s="240"/>
      <c r="G31" s="152"/>
      <c r="H31" s="240"/>
      <c r="I31" s="152"/>
      <c r="J31" s="240"/>
      <c r="K31" s="152"/>
      <c r="L31" s="240"/>
      <c r="M31" s="152"/>
      <c r="N31" s="1080"/>
      <c r="O31" s="980"/>
    </row>
    <row r="32" spans="1:17">
      <c r="A32" s="241" t="s">
        <v>283</v>
      </c>
      <c r="B32" s="236"/>
      <c r="C32" s="233"/>
      <c r="D32" s="240"/>
      <c r="E32" s="152"/>
      <c r="F32" s="240"/>
      <c r="G32" s="152"/>
      <c r="H32" s="240"/>
      <c r="I32" s="152"/>
      <c r="J32" s="240"/>
      <c r="K32" s="152"/>
      <c r="L32" s="240"/>
      <c r="M32" s="152"/>
      <c r="N32" s="1080"/>
      <c r="O32" s="980"/>
    </row>
    <row r="33" spans="1:22">
      <c r="A33" s="242" t="s">
        <v>51</v>
      </c>
      <c r="B33" s="236"/>
      <c r="C33" s="233" t="s">
        <v>149</v>
      </c>
      <c r="D33" s="231" t="s">
        <v>15</v>
      </c>
      <c r="E33" s="141">
        <v>0</v>
      </c>
      <c r="F33" s="231" t="s">
        <v>15</v>
      </c>
      <c r="G33" s="141">
        <v>0</v>
      </c>
      <c r="H33" s="231" t="s">
        <v>15</v>
      </c>
      <c r="I33" s="141">
        <f>K33-G33</f>
        <v>0</v>
      </c>
      <c r="J33" s="231" t="s">
        <v>15</v>
      </c>
      <c r="K33" s="141">
        <v>0</v>
      </c>
      <c r="L33" s="231" t="s">
        <v>15</v>
      </c>
      <c r="M33" s="141"/>
      <c r="N33" s="1077" t="s">
        <v>15</v>
      </c>
      <c r="O33" s="974">
        <v>0</v>
      </c>
    </row>
    <row r="34" spans="1:22">
      <c r="A34" s="242" t="s">
        <v>152</v>
      </c>
      <c r="B34" s="236"/>
      <c r="C34" s="233" t="s">
        <v>150</v>
      </c>
      <c r="D34" s="240"/>
      <c r="E34" s="141"/>
      <c r="F34" s="240"/>
      <c r="G34" s="141"/>
      <c r="H34" s="240"/>
      <c r="I34" s="141"/>
      <c r="J34" s="240"/>
      <c r="K34" s="141"/>
      <c r="L34" s="240"/>
      <c r="M34" s="141"/>
      <c r="N34" s="1081"/>
      <c r="O34" s="976"/>
    </row>
    <row r="35" spans="1:22">
      <c r="A35" s="242" t="s">
        <v>328</v>
      </c>
      <c r="B35" s="279"/>
      <c r="C35" s="233"/>
      <c r="D35" s="240"/>
      <c r="E35" s="141">
        <v>0</v>
      </c>
      <c r="F35" s="240"/>
      <c r="G35" s="141">
        <v>0</v>
      </c>
      <c r="H35" s="240"/>
      <c r="I35" s="141">
        <f>K35-G35</f>
        <v>0</v>
      </c>
      <c r="J35" s="240"/>
      <c r="K35" s="141">
        <v>0</v>
      </c>
      <c r="L35" s="240"/>
      <c r="M35" s="141">
        <v>0</v>
      </c>
      <c r="N35" s="1081"/>
      <c r="O35" s="976">
        <v>0</v>
      </c>
    </row>
    <row r="36" spans="1:22">
      <c r="A36" s="242" t="s">
        <v>153</v>
      </c>
      <c r="B36" s="236"/>
      <c r="C36" s="233" t="s">
        <v>151</v>
      </c>
      <c r="D36" s="240"/>
      <c r="E36" s="141">
        <v>0</v>
      </c>
      <c r="F36" s="240"/>
      <c r="G36" s="141">
        <v>0</v>
      </c>
      <c r="H36" s="240"/>
      <c r="I36" s="141">
        <f>K36-G36</f>
        <v>0</v>
      </c>
      <c r="J36" s="240"/>
      <c r="K36" s="141">
        <v>0</v>
      </c>
      <c r="L36" s="240"/>
      <c r="M36" s="141"/>
      <c r="N36" s="1081"/>
      <c r="O36" s="976">
        <v>0</v>
      </c>
    </row>
    <row r="37" spans="1:22">
      <c r="A37" s="242" t="s">
        <v>1069</v>
      </c>
      <c r="B37" s="762"/>
      <c r="C37" s="233"/>
      <c r="D37" s="231"/>
      <c r="E37" s="141">
        <v>0</v>
      </c>
      <c r="F37" s="231"/>
      <c r="G37" s="141">
        <v>0</v>
      </c>
      <c r="H37" s="231"/>
      <c r="I37" s="141">
        <f>K37-G37</f>
        <v>100000</v>
      </c>
      <c r="J37" s="231"/>
      <c r="K37" s="142">
        <v>100000</v>
      </c>
      <c r="L37" s="234"/>
      <c r="M37" s="142">
        <v>0</v>
      </c>
      <c r="N37" s="1077"/>
      <c r="O37" s="974">
        <v>0</v>
      </c>
    </row>
    <row r="38" spans="1:22">
      <c r="A38" s="1363" t="s">
        <v>16</v>
      </c>
      <c r="B38" s="1364"/>
      <c r="C38" s="233"/>
      <c r="D38" s="237" t="s">
        <v>15</v>
      </c>
      <c r="E38" s="154">
        <f>SUM(E33:E37)</f>
        <v>0</v>
      </c>
      <c r="F38" s="237" t="s">
        <v>15</v>
      </c>
      <c r="G38" s="154">
        <f>SUM(G33:G37)</f>
        <v>0</v>
      </c>
      <c r="H38" s="237" t="s">
        <v>15</v>
      </c>
      <c r="I38" s="154">
        <f>SUM(I33:I37)</f>
        <v>100000</v>
      </c>
      <c r="J38" s="237" t="s">
        <v>15</v>
      </c>
      <c r="K38" s="154">
        <f>SUM(K33:K37)</f>
        <v>100000</v>
      </c>
      <c r="L38" s="237" t="s">
        <v>15</v>
      </c>
      <c r="M38" s="154">
        <f>SUM(M33:M37)</f>
        <v>0</v>
      </c>
      <c r="N38" s="1081" t="s">
        <v>15</v>
      </c>
      <c r="O38" s="978">
        <f>SUM(O33:O37)</f>
        <v>0</v>
      </c>
    </row>
    <row r="39" spans="1:22" ht="15" customHeight="1">
      <c r="A39" s="239"/>
      <c r="B39" s="243"/>
      <c r="C39" s="233"/>
      <c r="D39" s="226"/>
      <c r="E39" s="143"/>
      <c r="F39" s="226"/>
      <c r="G39" s="143"/>
      <c r="H39" s="226"/>
      <c r="I39" s="143"/>
      <c r="J39" s="226"/>
      <c r="K39" s="143"/>
      <c r="L39" s="226"/>
      <c r="M39" s="141"/>
      <c r="N39" s="1074"/>
      <c r="O39" s="972"/>
    </row>
    <row r="40" spans="1:22">
      <c r="A40" s="1365" t="s">
        <v>277</v>
      </c>
      <c r="B40" s="1366"/>
      <c r="C40" s="244"/>
      <c r="D40" s="238" t="s">
        <v>15</v>
      </c>
      <c r="E40" s="151">
        <f>E38+E30</f>
        <v>66434.989999999991</v>
      </c>
      <c r="F40" s="238" t="s">
        <v>15</v>
      </c>
      <c r="G40" s="151">
        <f>G38+G30</f>
        <v>26656</v>
      </c>
      <c r="H40" s="238" t="s">
        <v>15</v>
      </c>
      <c r="I40" s="151">
        <f>I38+I30</f>
        <v>247344</v>
      </c>
      <c r="J40" s="238" t="s">
        <v>15</v>
      </c>
      <c r="K40" s="151">
        <f>K38+K30</f>
        <v>274000</v>
      </c>
      <c r="L40" s="238" t="s">
        <v>15</v>
      </c>
      <c r="M40" s="156">
        <f>M38+M30</f>
        <v>259000</v>
      </c>
      <c r="N40" s="1079" t="s">
        <v>15</v>
      </c>
      <c r="O40" s="982">
        <f>O38+O30</f>
        <v>85000</v>
      </c>
    </row>
    <row r="41" spans="1:22" ht="15" customHeight="1">
      <c r="A41" s="1152" t="s">
        <v>1623</v>
      </c>
      <c r="B41" s="243"/>
      <c r="C41" s="256"/>
      <c r="D41" s="257"/>
      <c r="E41" s="143"/>
      <c r="F41" s="257"/>
      <c r="G41" s="143"/>
      <c r="H41" s="257"/>
      <c r="I41" s="143"/>
      <c r="J41" s="257"/>
      <c r="K41" s="143"/>
      <c r="L41" s="257"/>
      <c r="M41" s="143"/>
      <c r="N41" s="1082"/>
      <c r="O41" s="1083"/>
    </row>
    <row r="42" spans="1:22" s="258" customFormat="1" ht="16.5" customHeight="1">
      <c r="A42" s="258" t="s">
        <v>187</v>
      </c>
      <c r="C42" s="259" t="s">
        <v>188</v>
      </c>
      <c r="F42" s="260"/>
      <c r="I42" s="258" t="s">
        <v>190</v>
      </c>
      <c r="L42" s="260"/>
      <c r="N42" s="1084"/>
      <c r="O42" s="1085"/>
      <c r="P42" s="1084"/>
      <c r="R42" s="261"/>
      <c r="S42" s="261"/>
      <c r="T42" s="261"/>
      <c r="U42" s="261"/>
      <c r="V42" s="261"/>
    </row>
    <row r="45" spans="1:22" ht="15" customHeight="1">
      <c r="B45" s="262"/>
      <c r="F45" s="262"/>
      <c r="G45" s="262"/>
      <c r="H45" s="262"/>
      <c r="I45" s="262"/>
      <c r="J45" s="262"/>
      <c r="K45" s="262"/>
      <c r="L45" s="262"/>
      <c r="M45" s="262"/>
      <c r="N45" s="1071"/>
      <c r="O45" s="1071"/>
    </row>
    <row r="46" spans="1:22" s="246" customFormat="1">
      <c r="A46" s="1360" t="s">
        <v>1612</v>
      </c>
      <c r="B46" s="1360"/>
      <c r="C46" s="1360" t="s">
        <v>1584</v>
      </c>
      <c r="D46" s="1360"/>
      <c r="E46" s="1360"/>
      <c r="F46" s="1360"/>
      <c r="G46" s="1360"/>
      <c r="H46" s="263"/>
      <c r="I46" s="1360" t="str">
        <f>coa!I34</f>
        <v>(Sgd.) ATTY. JOSE JOEL P. DOROMAL</v>
      </c>
      <c r="J46" s="1360"/>
      <c r="K46" s="1360"/>
      <c r="L46" s="1360"/>
      <c r="M46" s="1360"/>
      <c r="N46" s="1071"/>
      <c r="O46" s="1071"/>
      <c r="P46" s="1141"/>
    </row>
    <row r="47" spans="1:22">
      <c r="A47" s="1362" t="s">
        <v>1382</v>
      </c>
      <c r="B47" s="1362"/>
      <c r="C47" s="1362" t="s">
        <v>198</v>
      </c>
      <c r="D47" s="1362"/>
      <c r="E47" s="1362"/>
      <c r="F47" s="1362"/>
      <c r="G47" s="1362"/>
      <c r="I47" s="1362" t="s">
        <v>192</v>
      </c>
      <c r="J47" s="1362"/>
      <c r="K47" s="1362"/>
      <c r="L47" s="1362"/>
      <c r="M47" s="1362"/>
      <c r="N47" s="1073"/>
      <c r="O47" s="1073"/>
    </row>
  </sheetData>
  <sheetProtection algorithmName="SHA-512" hashValue="EOQ5xTmu2LcpDOxrK7kNkqs6o8u9+JP45ZmQVmX0yRpJ3xapt1/nvUVRutlKWZ3cuyqx2IZvj2R571kMkiAIMA==" saltValue="G7Uj6VbZ5OLch+iVfhb53g==" spinCount="100000" sheet="1" objects="1" scenarios="1"/>
  <mergeCells count="27">
    <mergeCell ref="N12:O14"/>
    <mergeCell ref="A47:B47"/>
    <mergeCell ref="C47:G47"/>
    <mergeCell ref="I47:M47"/>
    <mergeCell ref="A30:B30"/>
    <mergeCell ref="A38:B38"/>
    <mergeCell ref="A40:B40"/>
    <mergeCell ref="A46:B46"/>
    <mergeCell ref="C46:G46"/>
    <mergeCell ref="I46:M46"/>
    <mergeCell ref="A13:B13"/>
    <mergeCell ref="D13:E13"/>
    <mergeCell ref="F13:G13"/>
    <mergeCell ref="H13:I13"/>
    <mergeCell ref="J13:K14"/>
    <mergeCell ref="L13:M13"/>
    <mergeCell ref="D14:E14"/>
    <mergeCell ref="F14:G14"/>
    <mergeCell ref="H14:I14"/>
    <mergeCell ref="L14:M14"/>
    <mergeCell ref="A4:M4"/>
    <mergeCell ref="A5:M5"/>
    <mergeCell ref="F8:M8"/>
    <mergeCell ref="F9:M9"/>
    <mergeCell ref="D12:E12"/>
    <mergeCell ref="F12:K12"/>
    <mergeCell ref="L12:M12"/>
  </mergeCells>
  <pageMargins left="0.2" right="0.2" top="1" bottom="1" header="0.5" footer="0.5"/>
  <pageSetup paperSize="14" fitToWidth="0" orientation="portrait" verticalDpi="300" copies="3" r:id="rId1"/>
  <headerFooter alignWithMargins="0">
    <oddHeader>&amp;RPage 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  <pageSetUpPr fitToPage="1"/>
  </sheetPr>
  <dimension ref="A1:V102"/>
  <sheetViews>
    <sheetView topLeftCell="A42" zoomScale="175" zoomScaleNormal="175" workbookViewId="0">
      <selection activeCell="N22" sqref="N22"/>
    </sheetView>
  </sheetViews>
  <sheetFormatPr defaultColWidth="9.140625" defaultRowHeight="13.5"/>
  <cols>
    <col min="1" max="1" width="10.42578125" style="86" customWidth="1"/>
    <col min="2" max="2" width="26.5703125" style="86" customWidth="1"/>
    <col min="3" max="3" width="8.28515625" style="86" customWidth="1"/>
    <col min="4" max="4" width="2.28515625" style="87" customWidth="1"/>
    <col min="5" max="5" width="10.140625" style="86" customWidth="1"/>
    <col min="6" max="6" width="2.28515625" style="87" customWidth="1"/>
    <col min="7" max="7" width="8.85546875" style="86" customWidth="1"/>
    <col min="8" max="8" width="2.28515625" style="87" customWidth="1"/>
    <col min="9" max="9" width="10.140625" style="86" customWidth="1"/>
    <col min="10" max="10" width="2.28515625" style="87" customWidth="1"/>
    <col min="11" max="11" width="10.140625" style="86" customWidth="1"/>
    <col min="12" max="12" width="2.28515625" style="87" customWidth="1"/>
    <col min="13" max="13" width="10.140625" style="86" customWidth="1"/>
    <col min="14" max="14" width="2.28515625" style="966" hidden="1" customWidth="1"/>
    <col min="15" max="15" width="11" style="961" hidden="1" customWidth="1"/>
    <col min="16" max="16" width="9.28515625" style="961" bestFit="1" customWidth="1"/>
    <col min="17" max="17" width="10.28515625" style="961" bestFit="1" customWidth="1"/>
    <col min="18" max="22" width="9.140625" style="961"/>
    <col min="23" max="16384" width="9.140625" style="86"/>
  </cols>
  <sheetData>
    <row r="1" spans="1:17">
      <c r="A1" s="86" t="s">
        <v>186</v>
      </c>
    </row>
    <row r="2" spans="1:17" ht="9" customHeight="1"/>
    <row r="3" spans="1:17" ht="14.25" customHeight="1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986"/>
      <c r="O3" s="986"/>
    </row>
    <row r="4" spans="1:17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986"/>
      <c r="O4" s="986"/>
    </row>
    <row r="5" spans="1:17" ht="9.75" customHeight="1"/>
    <row r="6" spans="1:17">
      <c r="A6" s="89" t="s">
        <v>85</v>
      </c>
      <c r="B6" s="90" t="s">
        <v>446</v>
      </c>
      <c r="C6" s="90"/>
    </row>
    <row r="7" spans="1:17" ht="13.5" hidden="1" customHeight="1">
      <c r="A7" s="86" t="s">
        <v>2</v>
      </c>
      <c r="B7" s="91" t="s">
        <v>447</v>
      </c>
      <c r="C7" s="91"/>
      <c r="F7" s="804"/>
      <c r="G7" s="804"/>
      <c r="H7" s="804"/>
      <c r="I7" s="804"/>
      <c r="J7" s="804"/>
      <c r="K7" s="804"/>
      <c r="L7" s="804"/>
      <c r="M7" s="804"/>
      <c r="N7" s="1034"/>
      <c r="O7" s="1034"/>
    </row>
    <row r="8" spans="1:17" ht="13.5" hidden="1" customHeight="1">
      <c r="A8" s="86" t="s">
        <v>3</v>
      </c>
      <c r="B8" s="91" t="s">
        <v>20</v>
      </c>
      <c r="C8" s="91"/>
      <c r="F8" s="133"/>
      <c r="G8" s="133"/>
      <c r="H8" s="133"/>
      <c r="I8" s="133"/>
      <c r="J8" s="133"/>
      <c r="K8" s="133"/>
      <c r="L8" s="133"/>
      <c r="M8" s="133"/>
      <c r="N8" s="987"/>
      <c r="O8" s="987"/>
    </row>
    <row r="9" spans="1:17" ht="13.5" hidden="1" customHeight="1">
      <c r="A9" s="86" t="s">
        <v>4</v>
      </c>
      <c r="B9" s="91" t="s">
        <v>404</v>
      </c>
      <c r="C9" s="91"/>
    </row>
    <row r="10" spans="1:17" ht="7.5" customHeight="1"/>
    <row r="11" spans="1:17">
      <c r="A11" s="93"/>
      <c r="B11" s="94"/>
      <c r="C11" s="2" t="s">
        <v>5</v>
      </c>
      <c r="D11" s="1300" t="s">
        <v>7</v>
      </c>
      <c r="E11" s="1300"/>
      <c r="F11" s="1301" t="s">
        <v>1305</v>
      </c>
      <c r="G11" s="1302"/>
      <c r="H11" s="1302"/>
      <c r="I11" s="1302"/>
      <c r="J11" s="1302"/>
      <c r="K11" s="1303"/>
      <c r="L11" s="1300" t="s">
        <v>8</v>
      </c>
      <c r="M11" s="1300"/>
      <c r="N11" s="1328" t="s">
        <v>494</v>
      </c>
      <c r="O11" s="1329"/>
    </row>
    <row r="12" spans="1:17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330"/>
      <c r="O12" s="1331"/>
    </row>
    <row r="13" spans="1:17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332"/>
      <c r="O13" s="1333"/>
    </row>
    <row r="14" spans="1:17" ht="1.5" customHeight="1">
      <c r="A14" s="101"/>
      <c r="B14" s="98"/>
      <c r="C14" s="99"/>
      <c r="D14" s="100"/>
      <c r="E14" s="7"/>
      <c r="F14" s="100"/>
      <c r="G14" s="7"/>
      <c r="H14" s="100"/>
      <c r="I14" s="7"/>
      <c r="J14" s="100"/>
      <c r="K14" s="7"/>
      <c r="L14" s="100"/>
      <c r="M14" s="7"/>
      <c r="N14" s="971"/>
      <c r="O14" s="1035"/>
    </row>
    <row r="15" spans="1:17">
      <c r="A15" s="97" t="s">
        <v>282</v>
      </c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  <c r="N15" s="971"/>
      <c r="O15" s="1035"/>
    </row>
    <row r="16" spans="1:17">
      <c r="A16" s="101" t="s">
        <v>41</v>
      </c>
      <c r="B16" s="98"/>
      <c r="C16" s="102" t="s">
        <v>126</v>
      </c>
      <c r="D16" s="100" t="s">
        <v>15</v>
      </c>
      <c r="E16" s="7">
        <v>44446</v>
      </c>
      <c r="F16" s="100" t="s">
        <v>15</v>
      </c>
      <c r="G16" s="7">
        <v>29644</v>
      </c>
      <c r="H16" s="100" t="s">
        <v>15</v>
      </c>
      <c r="I16" s="7">
        <f>K16-G16</f>
        <v>55056</v>
      </c>
      <c r="J16" s="100" t="s">
        <v>15</v>
      </c>
      <c r="K16" s="7">
        <v>84700</v>
      </c>
      <c r="L16" s="100" t="s">
        <v>15</v>
      </c>
      <c r="M16" s="7">
        <f>11000+65000</f>
        <v>76000</v>
      </c>
      <c r="N16" s="973" t="s">
        <v>15</v>
      </c>
      <c r="O16" s="1036">
        <f>M16-K16</f>
        <v>-8700</v>
      </c>
      <c r="P16" s="963">
        <f>K16*0.1</f>
        <v>8470</v>
      </c>
      <c r="Q16" s="963">
        <f>P16+K16</f>
        <v>93170</v>
      </c>
    </row>
    <row r="17" spans="1:17">
      <c r="A17" s="101" t="s">
        <v>42</v>
      </c>
      <c r="B17" s="98"/>
      <c r="C17" s="102" t="s">
        <v>127</v>
      </c>
      <c r="D17" s="100"/>
      <c r="E17" s="157">
        <v>33000</v>
      </c>
      <c r="F17" s="100"/>
      <c r="G17" s="157">
        <v>22000</v>
      </c>
      <c r="H17" s="100"/>
      <c r="I17" s="7">
        <f t="shared" ref="I17:I29" si="0">K17-G17</f>
        <v>33000</v>
      </c>
      <c r="J17" s="100"/>
      <c r="K17" s="7">
        <v>55000</v>
      </c>
      <c r="L17" s="100"/>
      <c r="M17" s="7">
        <v>40000</v>
      </c>
      <c r="N17" s="975"/>
      <c r="O17" s="1036">
        <f t="shared" ref="O17:O29" si="1">M17-K17</f>
        <v>-15000</v>
      </c>
      <c r="P17" s="963">
        <f t="shared" ref="P17:P29" si="2">K17*0.1</f>
        <v>5500</v>
      </c>
      <c r="Q17" s="963">
        <f t="shared" ref="Q17:Q29" si="3">P17+K17</f>
        <v>60500</v>
      </c>
    </row>
    <row r="18" spans="1:17">
      <c r="A18" s="101" t="s">
        <v>28</v>
      </c>
      <c r="B18" s="98"/>
      <c r="C18" s="102" t="s">
        <v>128</v>
      </c>
      <c r="D18" s="100"/>
      <c r="E18" s="157">
        <v>24738.89</v>
      </c>
      <c r="F18" s="100"/>
      <c r="G18" s="157">
        <v>0</v>
      </c>
      <c r="H18" s="100"/>
      <c r="I18" s="7">
        <f t="shared" si="0"/>
        <v>75000</v>
      </c>
      <c r="J18" s="100"/>
      <c r="K18" s="7">
        <v>75000</v>
      </c>
      <c r="L18" s="100"/>
      <c r="M18" s="7">
        <v>50000</v>
      </c>
      <c r="N18" s="975"/>
      <c r="O18" s="1036">
        <f t="shared" si="1"/>
        <v>-25000</v>
      </c>
      <c r="P18" s="963">
        <f t="shared" si="2"/>
        <v>7500</v>
      </c>
      <c r="Q18" s="963">
        <f t="shared" si="3"/>
        <v>82500</v>
      </c>
    </row>
    <row r="19" spans="1:17">
      <c r="A19" s="101" t="s">
        <v>130</v>
      </c>
      <c r="B19" s="98"/>
      <c r="C19" s="102" t="s">
        <v>129</v>
      </c>
      <c r="D19" s="100"/>
      <c r="E19" s="157">
        <v>2531654.0099999998</v>
      </c>
      <c r="F19" s="100"/>
      <c r="G19" s="157">
        <v>293950.51</v>
      </c>
      <c r="H19" s="100"/>
      <c r="I19" s="7">
        <f t="shared" si="0"/>
        <v>706049.49</v>
      </c>
      <c r="J19" s="100"/>
      <c r="K19" s="7">
        <v>1000000</v>
      </c>
      <c r="L19" s="100"/>
      <c r="M19" s="7">
        <v>1100000</v>
      </c>
      <c r="N19" s="975"/>
      <c r="O19" s="1036">
        <f t="shared" si="1"/>
        <v>100000</v>
      </c>
      <c r="P19" s="963">
        <f t="shared" si="2"/>
        <v>100000</v>
      </c>
      <c r="Q19" s="963">
        <f t="shared" si="3"/>
        <v>1100000</v>
      </c>
    </row>
    <row r="20" spans="1:17">
      <c r="A20" s="101" t="s">
        <v>497</v>
      </c>
      <c r="B20" s="98"/>
      <c r="C20" s="102" t="s">
        <v>174</v>
      </c>
      <c r="D20" s="100"/>
      <c r="E20" s="157">
        <v>0</v>
      </c>
      <c r="F20" s="100"/>
      <c r="G20" s="157">
        <v>0</v>
      </c>
      <c r="H20" s="100"/>
      <c r="I20" s="7">
        <f t="shared" ref="I20" si="4">K20-G20</f>
        <v>60000</v>
      </c>
      <c r="J20" s="100"/>
      <c r="K20" s="7">
        <v>60000</v>
      </c>
      <c r="L20" s="100"/>
      <c r="M20" s="7">
        <v>20000</v>
      </c>
      <c r="N20" s="975"/>
      <c r="O20" s="1036">
        <f t="shared" si="1"/>
        <v>-40000</v>
      </c>
      <c r="P20" s="963" t="s">
        <v>1070</v>
      </c>
      <c r="Q20" s="963"/>
    </row>
    <row r="21" spans="1:17">
      <c r="A21" s="101" t="s">
        <v>172</v>
      </c>
      <c r="B21" s="98"/>
      <c r="C21" s="102" t="s">
        <v>171</v>
      </c>
      <c r="D21" s="100"/>
      <c r="E21" s="157">
        <v>5790.41</v>
      </c>
      <c r="F21" s="100"/>
      <c r="G21" s="157">
        <v>0</v>
      </c>
      <c r="H21" s="100"/>
      <c r="I21" s="7">
        <f t="shared" si="0"/>
        <v>22000</v>
      </c>
      <c r="J21" s="100"/>
      <c r="K21" s="7">
        <v>22000</v>
      </c>
      <c r="L21" s="100"/>
      <c r="M21" s="7">
        <v>10000</v>
      </c>
      <c r="N21" s="975"/>
      <c r="O21" s="1036">
        <f t="shared" si="1"/>
        <v>-12000</v>
      </c>
      <c r="P21" s="963">
        <f t="shared" si="2"/>
        <v>2200</v>
      </c>
      <c r="Q21" s="963">
        <f t="shared" si="3"/>
        <v>24200</v>
      </c>
    </row>
    <row r="22" spans="1:17">
      <c r="A22" s="101" t="s">
        <v>163</v>
      </c>
      <c r="B22" s="98"/>
      <c r="C22" s="102" t="s">
        <v>133</v>
      </c>
      <c r="D22" s="100"/>
      <c r="E22" s="157">
        <v>0</v>
      </c>
      <c r="F22" s="100"/>
      <c r="G22" s="157">
        <v>0</v>
      </c>
      <c r="H22" s="100"/>
      <c r="I22" s="7">
        <f t="shared" si="0"/>
        <v>11000</v>
      </c>
      <c r="J22" s="100"/>
      <c r="K22" s="7">
        <v>11000</v>
      </c>
      <c r="L22" s="100"/>
      <c r="M22" s="7">
        <v>0</v>
      </c>
      <c r="N22" s="975"/>
      <c r="O22" s="1036">
        <f t="shared" si="1"/>
        <v>-11000</v>
      </c>
      <c r="P22" s="963">
        <f t="shared" si="2"/>
        <v>1100</v>
      </c>
      <c r="Q22" s="963">
        <f t="shared" si="3"/>
        <v>12100</v>
      </c>
    </row>
    <row r="23" spans="1:17">
      <c r="A23" s="101" t="s">
        <v>0</v>
      </c>
      <c r="B23" s="98"/>
      <c r="C23" s="102" t="s">
        <v>164</v>
      </c>
      <c r="D23" s="100"/>
      <c r="E23" s="157">
        <v>0</v>
      </c>
      <c r="F23" s="100"/>
      <c r="G23" s="157">
        <v>0</v>
      </c>
      <c r="H23" s="100"/>
      <c r="I23" s="7">
        <f t="shared" si="0"/>
        <v>0</v>
      </c>
      <c r="J23" s="100"/>
      <c r="K23" s="7">
        <v>0</v>
      </c>
      <c r="L23" s="100"/>
      <c r="M23" s="7">
        <v>0</v>
      </c>
      <c r="N23" s="975"/>
      <c r="O23" s="1036">
        <f t="shared" si="1"/>
        <v>0</v>
      </c>
      <c r="P23" s="963">
        <f t="shared" si="2"/>
        <v>0</v>
      </c>
      <c r="Q23" s="963">
        <f t="shared" si="3"/>
        <v>0</v>
      </c>
    </row>
    <row r="24" spans="1:17">
      <c r="A24" s="101" t="s">
        <v>142</v>
      </c>
      <c r="B24" s="98"/>
      <c r="C24" s="102" t="s">
        <v>141</v>
      </c>
      <c r="D24" s="100"/>
      <c r="E24" s="157">
        <v>0</v>
      </c>
      <c r="F24" s="100"/>
      <c r="G24" s="157">
        <v>0</v>
      </c>
      <c r="H24" s="100"/>
      <c r="I24" s="7">
        <f t="shared" si="0"/>
        <v>22000</v>
      </c>
      <c r="J24" s="100"/>
      <c r="K24" s="7">
        <v>22000</v>
      </c>
      <c r="L24" s="100"/>
      <c r="M24" s="7">
        <v>10000</v>
      </c>
      <c r="N24" s="975"/>
      <c r="O24" s="1036">
        <f t="shared" si="1"/>
        <v>-12000</v>
      </c>
      <c r="P24" s="963">
        <f t="shared" si="2"/>
        <v>2200</v>
      </c>
      <c r="Q24" s="963">
        <f t="shared" si="3"/>
        <v>24200</v>
      </c>
    </row>
    <row r="25" spans="1:17">
      <c r="A25" s="101" t="s">
        <v>145</v>
      </c>
      <c r="B25" s="98"/>
      <c r="C25" s="102" t="s">
        <v>144</v>
      </c>
      <c r="D25" s="100"/>
      <c r="E25" s="157">
        <v>184706.37</v>
      </c>
      <c r="F25" s="100"/>
      <c r="G25" s="157">
        <v>0</v>
      </c>
      <c r="H25" s="100"/>
      <c r="I25" s="7">
        <f t="shared" si="0"/>
        <v>450000</v>
      </c>
      <c r="J25" s="100"/>
      <c r="K25" s="7">
        <v>450000</v>
      </c>
      <c r="L25" s="100"/>
      <c r="M25" s="7">
        <v>300000</v>
      </c>
      <c r="N25" s="975"/>
      <c r="O25" s="1036">
        <f t="shared" si="1"/>
        <v>-150000</v>
      </c>
      <c r="P25" s="963">
        <f t="shared" si="2"/>
        <v>45000</v>
      </c>
      <c r="Q25" s="963">
        <f t="shared" si="3"/>
        <v>495000</v>
      </c>
    </row>
    <row r="26" spans="1:17">
      <c r="A26" s="101" t="s">
        <v>33</v>
      </c>
      <c r="B26" s="119"/>
      <c r="C26" s="102" t="s">
        <v>148</v>
      </c>
      <c r="D26" s="100"/>
      <c r="E26" s="157"/>
      <c r="F26" s="100"/>
      <c r="G26" s="157"/>
      <c r="H26" s="100"/>
      <c r="I26" s="7"/>
      <c r="J26" s="100"/>
      <c r="K26" s="7"/>
      <c r="L26" s="100"/>
      <c r="M26" s="7"/>
      <c r="N26" s="975"/>
      <c r="O26" s="996"/>
      <c r="P26" s="963">
        <f t="shared" si="2"/>
        <v>0</v>
      </c>
      <c r="Q26" s="963">
        <f t="shared" si="3"/>
        <v>0</v>
      </c>
    </row>
    <row r="27" spans="1:17">
      <c r="A27" s="101"/>
      <c r="B27" s="7" t="s">
        <v>342</v>
      </c>
      <c r="C27" s="102"/>
      <c r="D27" s="100"/>
      <c r="E27" s="157">
        <v>186870</v>
      </c>
      <c r="F27" s="100"/>
      <c r="G27" s="157">
        <v>76254</v>
      </c>
      <c r="H27" s="100"/>
      <c r="I27" s="7">
        <f t="shared" si="0"/>
        <v>113746</v>
      </c>
      <c r="J27" s="100"/>
      <c r="K27" s="7">
        <v>190000</v>
      </c>
      <c r="L27" s="100"/>
      <c r="M27" s="7">
        <v>190000</v>
      </c>
      <c r="N27" s="975"/>
      <c r="O27" s="1036">
        <f t="shared" si="1"/>
        <v>0</v>
      </c>
      <c r="P27" s="963">
        <f t="shared" si="2"/>
        <v>19000</v>
      </c>
      <c r="Q27" s="963">
        <f t="shared" si="3"/>
        <v>209000</v>
      </c>
    </row>
    <row r="28" spans="1:17">
      <c r="A28" s="101"/>
      <c r="B28" s="7" t="s">
        <v>510</v>
      </c>
      <c r="C28" s="102"/>
      <c r="D28" s="100"/>
      <c r="E28" s="157">
        <v>42000</v>
      </c>
      <c r="F28" s="100"/>
      <c r="G28" s="157">
        <v>21000</v>
      </c>
      <c r="H28" s="100"/>
      <c r="I28" s="7">
        <f t="shared" si="0"/>
        <v>21000</v>
      </c>
      <c r="J28" s="100"/>
      <c r="K28" s="7">
        <v>42000</v>
      </c>
      <c r="L28" s="100"/>
      <c r="M28" s="7">
        <v>60000</v>
      </c>
      <c r="N28" s="975"/>
      <c r="O28" s="1036">
        <f t="shared" si="1"/>
        <v>18000</v>
      </c>
      <c r="P28" s="963"/>
      <c r="Q28" s="963"/>
    </row>
    <row r="29" spans="1:17">
      <c r="A29" s="101"/>
      <c r="B29" s="7" t="s">
        <v>344</v>
      </c>
      <c r="C29" s="102"/>
      <c r="D29" s="100"/>
      <c r="E29" s="157">
        <v>153253.76999999999</v>
      </c>
      <c r="F29" s="100"/>
      <c r="G29" s="157">
        <v>16000</v>
      </c>
      <c r="H29" s="100"/>
      <c r="I29" s="7">
        <f t="shared" si="0"/>
        <v>257000</v>
      </c>
      <c r="J29" s="100"/>
      <c r="K29" s="105">
        <v>273000</v>
      </c>
      <c r="L29" s="104"/>
      <c r="M29" s="105">
        <v>116000</v>
      </c>
      <c r="N29" s="975"/>
      <c r="O29" s="1036">
        <f t="shared" si="1"/>
        <v>-157000</v>
      </c>
      <c r="P29" s="963">
        <f t="shared" si="2"/>
        <v>27300</v>
      </c>
      <c r="Q29" s="963">
        <f t="shared" si="3"/>
        <v>300300</v>
      </c>
    </row>
    <row r="30" spans="1:17">
      <c r="A30" s="1325" t="s">
        <v>13</v>
      </c>
      <c r="B30" s="1326"/>
      <c r="C30" s="102"/>
      <c r="D30" s="109" t="s">
        <v>15</v>
      </c>
      <c r="E30" s="110">
        <f>SUM(E16:E29)</f>
        <v>3206459.45</v>
      </c>
      <c r="F30" s="109" t="s">
        <v>15</v>
      </c>
      <c r="G30" s="110">
        <f>SUM(G16:G29)</f>
        <v>458848.51</v>
      </c>
      <c r="H30" s="109" t="s">
        <v>15</v>
      </c>
      <c r="I30" s="110">
        <f>SUM(I16:I29)</f>
        <v>1825851.49</v>
      </c>
      <c r="J30" s="109" t="s">
        <v>15</v>
      </c>
      <c r="K30" s="126">
        <f>SUM(K16:K29)</f>
        <v>2284700</v>
      </c>
      <c r="L30" s="125" t="s">
        <v>15</v>
      </c>
      <c r="M30" s="126">
        <f>SUM(M16:M29)</f>
        <v>1972000</v>
      </c>
      <c r="N30" s="981" t="s">
        <v>15</v>
      </c>
      <c r="O30" s="1044">
        <f>SUM(O16:O29)</f>
        <v>-312700</v>
      </c>
    </row>
    <row r="31" spans="1:17" ht="6.75" customHeight="1">
      <c r="A31" s="155"/>
      <c r="B31" s="119"/>
      <c r="C31" s="102"/>
      <c r="D31" s="122"/>
      <c r="E31" s="123"/>
      <c r="F31" s="122"/>
      <c r="G31" s="123"/>
      <c r="H31" s="122"/>
      <c r="I31" s="123"/>
      <c r="J31" s="122"/>
      <c r="K31" s="123"/>
      <c r="L31" s="122"/>
      <c r="M31" s="123"/>
      <c r="N31" s="979"/>
      <c r="O31" s="1040"/>
    </row>
    <row r="32" spans="1:17">
      <c r="A32" s="121" t="s">
        <v>283</v>
      </c>
      <c r="B32" s="119"/>
      <c r="C32" s="102"/>
      <c r="D32" s="122"/>
      <c r="E32" s="123"/>
      <c r="F32" s="122"/>
      <c r="G32" s="123"/>
      <c r="H32" s="122"/>
      <c r="I32" s="123"/>
      <c r="J32" s="122"/>
      <c r="K32" s="123"/>
      <c r="L32" s="122"/>
      <c r="M32" s="123"/>
      <c r="N32" s="979"/>
      <c r="O32" s="1040"/>
    </row>
    <row r="33" spans="1:22">
      <c r="A33" s="124" t="s">
        <v>51</v>
      </c>
      <c r="B33" s="119"/>
      <c r="C33" s="102" t="s">
        <v>149</v>
      </c>
      <c r="D33" s="100" t="s">
        <v>15</v>
      </c>
      <c r="E33" s="7"/>
      <c r="F33" s="100" t="s">
        <v>15</v>
      </c>
      <c r="G33" s="7"/>
      <c r="H33" s="100" t="s">
        <v>15</v>
      </c>
      <c r="I33" s="7">
        <f>K33-G33</f>
        <v>0</v>
      </c>
      <c r="J33" s="100" t="s">
        <v>15</v>
      </c>
      <c r="K33" s="7">
        <v>0</v>
      </c>
      <c r="L33" s="100" t="s">
        <v>15</v>
      </c>
      <c r="M33" s="7"/>
      <c r="N33" s="973" t="s">
        <v>15</v>
      </c>
      <c r="O33" s="1036">
        <v>0</v>
      </c>
    </row>
    <row r="34" spans="1:22">
      <c r="A34" s="124" t="s">
        <v>1094</v>
      </c>
      <c r="B34" s="773"/>
      <c r="C34" s="102"/>
      <c r="D34" s="100"/>
      <c r="E34" s="7">
        <v>0</v>
      </c>
      <c r="F34" s="100"/>
      <c r="G34" s="7">
        <v>0</v>
      </c>
      <c r="H34" s="100"/>
      <c r="I34" s="7">
        <f t="shared" ref="I34:I35" si="5">K34-G34</f>
        <v>40000</v>
      </c>
      <c r="J34" s="100"/>
      <c r="K34" s="7">
        <v>40000</v>
      </c>
      <c r="L34" s="100"/>
      <c r="M34" s="7"/>
      <c r="N34" s="973"/>
      <c r="O34" s="1036">
        <v>0</v>
      </c>
    </row>
    <row r="35" spans="1:22">
      <c r="A35" s="124" t="s">
        <v>337</v>
      </c>
      <c r="B35" s="773"/>
      <c r="C35" s="102"/>
      <c r="D35" s="100"/>
      <c r="E35" s="7">
        <v>0</v>
      </c>
      <c r="F35" s="100"/>
      <c r="G35" s="7">
        <v>0</v>
      </c>
      <c r="H35" s="100"/>
      <c r="I35" s="7">
        <f t="shared" si="5"/>
        <v>50000</v>
      </c>
      <c r="J35" s="100"/>
      <c r="K35" s="7">
        <v>50000</v>
      </c>
      <c r="L35" s="100"/>
      <c r="M35" s="7"/>
      <c r="N35" s="973"/>
      <c r="O35" s="1036">
        <v>0</v>
      </c>
    </row>
    <row r="36" spans="1:22">
      <c r="A36" s="124" t="s">
        <v>152</v>
      </c>
      <c r="B36" s="119"/>
      <c r="C36" s="102" t="s">
        <v>150</v>
      </c>
      <c r="D36" s="122"/>
      <c r="E36" s="7"/>
      <c r="F36" s="122"/>
      <c r="G36" s="7"/>
      <c r="H36" s="122"/>
      <c r="I36" s="7"/>
      <c r="J36" s="122"/>
      <c r="K36" s="7"/>
      <c r="L36" s="122"/>
      <c r="M36" s="7"/>
      <c r="N36" s="977"/>
      <c r="O36" s="996"/>
    </row>
    <row r="37" spans="1:22">
      <c r="A37" s="124" t="s">
        <v>153</v>
      </c>
      <c r="B37" s="119"/>
      <c r="C37" s="102" t="s">
        <v>151</v>
      </c>
      <c r="D37" s="122"/>
      <c r="E37" s="7"/>
      <c r="F37" s="122"/>
      <c r="G37" s="7"/>
      <c r="H37" s="122"/>
      <c r="I37" s="7"/>
      <c r="J37" s="122"/>
      <c r="K37" s="7"/>
      <c r="L37" s="122"/>
      <c r="M37" s="7"/>
      <c r="N37" s="977"/>
      <c r="O37" s="996"/>
    </row>
    <row r="38" spans="1:22">
      <c r="A38" s="124" t="s">
        <v>1149</v>
      </c>
      <c r="B38" s="773"/>
      <c r="C38" s="102"/>
      <c r="D38" s="122"/>
      <c r="E38" s="7">
        <v>0</v>
      </c>
      <c r="F38" s="122"/>
      <c r="G38" s="7">
        <v>0</v>
      </c>
      <c r="H38" s="122"/>
      <c r="I38" s="7">
        <f>K38-G38</f>
        <v>40000</v>
      </c>
      <c r="J38" s="122"/>
      <c r="K38" s="7">
        <v>40000</v>
      </c>
      <c r="L38" s="122"/>
      <c r="M38" s="7"/>
      <c r="N38" s="977"/>
      <c r="O38" s="996">
        <v>0</v>
      </c>
    </row>
    <row r="39" spans="1:22">
      <c r="A39" s="124" t="s">
        <v>1148</v>
      </c>
      <c r="B39" s="761"/>
      <c r="C39" s="102"/>
      <c r="D39" s="122"/>
      <c r="E39" s="7">
        <v>0</v>
      </c>
      <c r="F39" s="122"/>
      <c r="G39" s="7">
        <v>0</v>
      </c>
      <c r="H39" s="122"/>
      <c r="I39" s="7">
        <f>K39-G39</f>
        <v>60000</v>
      </c>
      <c r="J39" s="122"/>
      <c r="K39" s="7">
        <v>60000</v>
      </c>
      <c r="L39" s="122"/>
      <c r="M39" s="7"/>
      <c r="N39" s="977"/>
      <c r="O39" s="996">
        <v>0</v>
      </c>
    </row>
    <row r="40" spans="1:22">
      <c r="A40" s="124" t="s">
        <v>1150</v>
      </c>
      <c r="B40" s="119"/>
      <c r="C40" s="102"/>
      <c r="D40" s="122"/>
      <c r="E40" s="7">
        <v>0</v>
      </c>
      <c r="F40" s="122"/>
      <c r="G40" s="7">
        <v>0</v>
      </c>
      <c r="H40" s="122"/>
      <c r="I40" s="7">
        <f>K40-G40</f>
        <v>48000</v>
      </c>
      <c r="J40" s="122"/>
      <c r="K40" s="105">
        <v>48000</v>
      </c>
      <c r="L40" s="125"/>
      <c r="M40" s="105"/>
      <c r="N40" s="977"/>
      <c r="O40" s="996">
        <v>0</v>
      </c>
    </row>
    <row r="41" spans="1:22">
      <c r="A41" s="1325" t="s">
        <v>16</v>
      </c>
      <c r="B41" s="1326"/>
      <c r="C41" s="102"/>
      <c r="D41" s="109" t="s">
        <v>15</v>
      </c>
      <c r="E41" s="110">
        <f>SUM(E33:E40)</f>
        <v>0</v>
      </c>
      <c r="F41" s="109" t="s">
        <v>15</v>
      </c>
      <c r="G41" s="110">
        <f>SUM(G33:G40)</f>
        <v>0</v>
      </c>
      <c r="H41" s="109" t="s">
        <v>15</v>
      </c>
      <c r="I41" s="110">
        <f>SUM(I33:I40)</f>
        <v>238000</v>
      </c>
      <c r="J41" s="109" t="s">
        <v>15</v>
      </c>
      <c r="K41" s="110">
        <f>SUM(K33:K40)</f>
        <v>238000</v>
      </c>
      <c r="L41" s="109" t="s">
        <v>15</v>
      </c>
      <c r="M41" s="110">
        <f>SUM(M33:M40)</f>
        <v>0</v>
      </c>
      <c r="N41" s="977" t="s">
        <v>15</v>
      </c>
      <c r="O41" s="1033">
        <f>M41-K41</f>
        <v>-238000</v>
      </c>
    </row>
    <row r="42" spans="1:22" ht="7.5" customHeight="1">
      <c r="A42" s="155"/>
      <c r="B42" s="147"/>
      <c r="C42" s="102"/>
      <c r="D42" s="120"/>
      <c r="E42" s="157"/>
      <c r="F42" s="120"/>
      <c r="G42" s="157"/>
      <c r="H42" s="120"/>
      <c r="I42" s="157"/>
      <c r="J42" s="120"/>
      <c r="K42" s="157"/>
      <c r="L42" s="120"/>
      <c r="M42" s="7"/>
      <c r="N42" s="969"/>
      <c r="O42" s="1035"/>
    </row>
    <row r="43" spans="1:22">
      <c r="A43" s="1336" t="s">
        <v>277</v>
      </c>
      <c r="B43" s="1337"/>
      <c r="C43" s="113"/>
      <c r="D43" s="125" t="s">
        <v>15</v>
      </c>
      <c r="E43" s="219">
        <f>E41+E30</f>
        <v>3206459.45</v>
      </c>
      <c r="F43" s="125" t="s">
        <v>15</v>
      </c>
      <c r="G43" s="219">
        <f>G41+G30</f>
        <v>458848.51</v>
      </c>
      <c r="H43" s="125" t="s">
        <v>15</v>
      </c>
      <c r="I43" s="219">
        <f>I41+I30</f>
        <v>2063851.49</v>
      </c>
      <c r="J43" s="125" t="s">
        <v>15</v>
      </c>
      <c r="K43" s="219">
        <f>K41+K30</f>
        <v>2522700</v>
      </c>
      <c r="L43" s="125" t="s">
        <v>15</v>
      </c>
      <c r="M43" s="126">
        <f>M41+M30</f>
        <v>1972000</v>
      </c>
      <c r="N43" s="981" t="s">
        <v>15</v>
      </c>
      <c r="O43" s="1044">
        <f>O41+O30</f>
        <v>-550700</v>
      </c>
    </row>
    <row r="44" spans="1:22" ht="17.25" customHeight="1">
      <c r="A44" s="62" t="s">
        <v>1623</v>
      </c>
      <c r="B44" s="916"/>
      <c r="C44" s="915"/>
      <c r="D44" s="149"/>
      <c r="E44" s="175"/>
      <c r="F44" s="149"/>
      <c r="G44" s="175"/>
      <c r="H44" s="149"/>
      <c r="I44" s="175"/>
      <c r="J44" s="149"/>
      <c r="K44" s="175"/>
      <c r="L44" s="149"/>
      <c r="M44" s="175"/>
      <c r="N44" s="1002"/>
      <c r="O44" s="1039"/>
    </row>
    <row r="45" spans="1:22" s="127" customFormat="1" ht="17.25" customHeight="1">
      <c r="A45" s="127" t="s">
        <v>187</v>
      </c>
      <c r="C45" s="128" t="s">
        <v>188</v>
      </c>
      <c r="F45" s="129"/>
      <c r="I45" s="127" t="s">
        <v>190</v>
      </c>
      <c r="L45" s="129"/>
      <c r="N45" s="964"/>
      <c r="O45" s="985"/>
      <c r="P45" s="964"/>
      <c r="Q45" s="985"/>
      <c r="R45" s="1009"/>
      <c r="S45" s="1009"/>
      <c r="T45" s="1009"/>
      <c r="U45" s="1009"/>
      <c r="V45" s="1009"/>
    </row>
    <row r="47" spans="1:22" ht="9" customHeight="1">
      <c r="B47" s="185"/>
      <c r="F47" s="185"/>
      <c r="G47" s="185"/>
      <c r="H47" s="185"/>
      <c r="I47" s="185"/>
      <c r="J47" s="185"/>
      <c r="K47" s="185"/>
      <c r="L47" s="774"/>
      <c r="M47" s="774"/>
      <c r="N47" s="967"/>
      <c r="O47" s="967"/>
    </row>
    <row r="48" spans="1:22" s="89" customFormat="1">
      <c r="A48" s="1369" t="s">
        <v>1613</v>
      </c>
      <c r="B48" s="1369"/>
      <c r="C48" s="1369"/>
      <c r="D48" s="1323" t="s">
        <v>1584</v>
      </c>
      <c r="E48" s="1323"/>
      <c r="F48" s="1323"/>
      <c r="G48" s="1323"/>
      <c r="H48" s="131"/>
      <c r="I48" s="1323" t="str">
        <f>mctc!I46</f>
        <v>(Sgd.) ATTY. JOSE JOEL P. DOROMAL</v>
      </c>
      <c r="J48" s="1323"/>
      <c r="K48" s="1323"/>
      <c r="L48" s="1323"/>
      <c r="M48" s="1323"/>
      <c r="N48" s="986"/>
      <c r="O48" s="986"/>
      <c r="P48" s="965"/>
      <c r="Q48" s="965"/>
      <c r="R48" s="965"/>
      <c r="S48" s="965"/>
      <c r="T48" s="965"/>
      <c r="U48" s="965"/>
      <c r="V48" s="965"/>
    </row>
    <row r="49" spans="1:15">
      <c r="A49" s="1327" t="s">
        <v>1614</v>
      </c>
      <c r="B49" s="1327"/>
      <c r="C49" s="1327"/>
      <c r="D49" s="1322" t="s">
        <v>198</v>
      </c>
      <c r="E49" s="1322"/>
      <c r="F49" s="1322"/>
      <c r="G49" s="1322"/>
      <c r="I49" s="1322" t="s">
        <v>192</v>
      </c>
      <c r="J49" s="1322"/>
      <c r="K49" s="1322"/>
      <c r="L49" s="1322"/>
      <c r="M49" s="1322"/>
      <c r="N49" s="987"/>
      <c r="O49" s="987"/>
    </row>
    <row r="52" spans="1:15" ht="13.5" hidden="1" customHeight="1">
      <c r="A52" s="114"/>
      <c r="B52" s="92"/>
      <c r="C52" s="92"/>
      <c r="D52" s="116"/>
      <c r="E52" s="115"/>
    </row>
    <row r="53" spans="1:15" ht="13.5" hidden="1" customHeight="1">
      <c r="A53" s="1324" t="s">
        <v>60</v>
      </c>
      <c r="B53" s="1311"/>
      <c r="C53" s="108"/>
      <c r="D53" s="111"/>
      <c r="E53" s="98"/>
    </row>
    <row r="54" spans="1:15" ht="13.5" hidden="1" customHeight="1">
      <c r="A54" s="101" t="s">
        <v>59</v>
      </c>
      <c r="B54" s="108"/>
      <c r="C54" s="108"/>
      <c r="D54" s="111"/>
      <c r="E54" s="135" t="s">
        <v>90</v>
      </c>
      <c r="F54" s="86"/>
      <c r="H54" s="86"/>
      <c r="J54" s="86"/>
      <c r="L54" s="86"/>
      <c r="N54" s="961"/>
    </row>
    <row r="55" spans="1:15" ht="13.5" hidden="1" customHeight="1">
      <c r="A55" s="101"/>
      <c r="B55" s="108"/>
      <c r="C55" s="108"/>
      <c r="D55" s="111"/>
      <c r="E55" s="98"/>
      <c r="F55" s="86"/>
      <c r="H55" s="86"/>
      <c r="J55" s="86"/>
      <c r="L55" s="86"/>
      <c r="N55" s="961"/>
    </row>
    <row r="56" spans="1:15" ht="13.5" hidden="1" customHeight="1">
      <c r="A56" s="136" t="s">
        <v>61</v>
      </c>
      <c r="B56" s="108"/>
      <c r="C56" s="108"/>
      <c r="D56" s="111" t="s">
        <v>15</v>
      </c>
      <c r="E56" s="7">
        <v>87000</v>
      </c>
      <c r="F56" s="86"/>
      <c r="H56" s="86"/>
      <c r="J56" s="86"/>
      <c r="L56" s="86"/>
      <c r="N56" s="961"/>
    </row>
    <row r="57" spans="1:15" ht="15.75" hidden="1" customHeight="1">
      <c r="A57" s="136" t="s">
        <v>76</v>
      </c>
      <c r="B57" s="108"/>
      <c r="C57" s="108"/>
      <c r="D57" s="111"/>
      <c r="E57" s="137">
        <v>273000</v>
      </c>
      <c r="F57" s="86"/>
      <c r="H57" s="86"/>
      <c r="J57" s="86"/>
      <c r="L57" s="86"/>
      <c r="N57" s="961"/>
    </row>
    <row r="58" spans="1:15" ht="13.5" hidden="1" customHeight="1">
      <c r="A58" s="1320" t="s">
        <v>64</v>
      </c>
      <c r="B58" s="1321"/>
      <c r="C58" s="108"/>
      <c r="D58" s="111" t="s">
        <v>15</v>
      </c>
      <c r="E58" s="7">
        <f>SUM(E56:E57)</f>
        <v>360000</v>
      </c>
      <c r="F58" s="86"/>
      <c r="H58" s="86"/>
      <c r="J58" s="86"/>
      <c r="L58" s="86"/>
      <c r="N58" s="961"/>
    </row>
    <row r="59" spans="1:15" ht="13.5" hidden="1" customHeight="1">
      <c r="A59" s="138"/>
      <c r="B59" s="90"/>
      <c r="C59" s="90"/>
      <c r="D59" s="139"/>
      <c r="E59" s="112"/>
      <c r="F59" s="86"/>
      <c r="H59" s="86"/>
      <c r="J59" s="86"/>
      <c r="L59" s="86"/>
      <c r="N59" s="961"/>
    </row>
    <row r="60" spans="1:15" ht="13.5" hidden="1" customHeight="1">
      <c r="A60" s="114"/>
      <c r="B60" s="92"/>
      <c r="C60" s="92"/>
      <c r="D60" s="116"/>
      <c r="E60" s="115"/>
      <c r="F60" s="86"/>
      <c r="H60" s="86"/>
      <c r="J60" s="86"/>
      <c r="L60" s="86"/>
      <c r="N60" s="961"/>
    </row>
    <row r="61" spans="1:15" ht="13.5" hidden="1" customHeight="1">
      <c r="A61" s="1324" t="s">
        <v>60</v>
      </c>
      <c r="B61" s="1311"/>
      <c r="C61" s="108"/>
      <c r="D61" s="111"/>
      <c r="E61" s="98"/>
      <c r="F61" s="86"/>
      <c r="H61" s="86"/>
      <c r="J61" s="86"/>
      <c r="L61" s="86"/>
      <c r="N61" s="961"/>
    </row>
    <row r="62" spans="1:15" ht="13.5" hidden="1" customHeight="1">
      <c r="A62" s="101" t="s">
        <v>233</v>
      </c>
      <c r="B62" s="108"/>
      <c r="C62" s="108"/>
      <c r="D62" s="111"/>
      <c r="E62" s="135" t="s">
        <v>228</v>
      </c>
      <c r="F62" s="86"/>
      <c r="H62" s="86"/>
      <c r="J62" s="86"/>
      <c r="L62" s="86"/>
      <c r="N62" s="961"/>
    </row>
    <row r="63" spans="1:15" ht="13.5" hidden="1" customHeight="1">
      <c r="A63" s="101"/>
      <c r="B63" s="108"/>
      <c r="C63" s="108"/>
      <c r="D63" s="111"/>
      <c r="E63" s="98"/>
      <c r="F63" s="86"/>
      <c r="H63" s="86"/>
      <c r="J63" s="86"/>
      <c r="L63" s="86"/>
      <c r="N63" s="961"/>
    </row>
    <row r="64" spans="1:15" ht="13.5" hidden="1" customHeight="1">
      <c r="A64" s="136" t="s">
        <v>61</v>
      </c>
      <c r="B64" s="108"/>
      <c r="C64" s="108"/>
      <c r="D64" s="111" t="s">
        <v>15</v>
      </c>
      <c r="E64" s="7">
        <v>0</v>
      </c>
      <c r="F64" s="86"/>
      <c r="H64" s="86"/>
      <c r="J64" s="86"/>
      <c r="L64" s="86"/>
      <c r="N64" s="961"/>
    </row>
    <row r="65" spans="1:14" ht="15.75" hidden="1" customHeight="1">
      <c r="A65" s="136" t="s">
        <v>76</v>
      </c>
      <c r="B65" s="108"/>
      <c r="C65" s="108"/>
      <c r="D65" s="111"/>
      <c r="E65" s="137">
        <v>273000</v>
      </c>
      <c r="F65" s="86"/>
      <c r="H65" s="86"/>
      <c r="J65" s="86"/>
      <c r="L65" s="86"/>
      <c r="N65" s="961"/>
    </row>
    <row r="66" spans="1:14" ht="13.5" hidden="1" customHeight="1">
      <c r="A66" s="1320" t="s">
        <v>64</v>
      </c>
      <c r="B66" s="1321"/>
      <c r="C66" s="108"/>
      <c r="D66" s="111" t="s">
        <v>15</v>
      </c>
      <c r="E66" s="7">
        <f>SUM(E64:E65)</f>
        <v>273000</v>
      </c>
      <c r="F66" s="86"/>
      <c r="H66" s="86"/>
      <c r="J66" s="86"/>
      <c r="L66" s="86"/>
      <c r="N66" s="961"/>
    </row>
    <row r="67" spans="1:14" ht="13.5" hidden="1" customHeight="1">
      <c r="A67" s="138"/>
      <c r="B67" s="90"/>
      <c r="C67" s="90"/>
      <c r="D67" s="139"/>
      <c r="E67" s="112"/>
      <c r="F67" s="86"/>
      <c r="H67" s="86"/>
      <c r="J67" s="86"/>
      <c r="L67" s="86"/>
      <c r="N67" s="961"/>
    </row>
    <row r="95" spans="1:14">
      <c r="A95" s="134" t="s">
        <v>311</v>
      </c>
      <c r="B95" s="92"/>
      <c r="C95" s="92"/>
      <c r="D95" s="116"/>
      <c r="E95" s="115"/>
      <c r="F95" s="86"/>
      <c r="H95" s="86"/>
      <c r="J95" s="86"/>
      <c r="L95" s="86"/>
      <c r="N95" s="961"/>
    </row>
    <row r="96" spans="1:14">
      <c r="A96" s="1324" t="s">
        <v>60</v>
      </c>
      <c r="B96" s="1311"/>
      <c r="C96" s="108"/>
      <c r="D96" s="111"/>
      <c r="E96" s="98"/>
      <c r="F96" s="86"/>
      <c r="H96" s="86"/>
      <c r="J96" s="86"/>
      <c r="L96" s="86"/>
      <c r="N96" s="961"/>
    </row>
    <row r="97" spans="1:14">
      <c r="A97" s="101" t="s">
        <v>233</v>
      </c>
      <c r="B97" s="108"/>
      <c r="C97" s="108"/>
      <c r="D97" s="111"/>
      <c r="E97" s="135" t="s">
        <v>300</v>
      </c>
      <c r="F97" s="86"/>
      <c r="H97" s="86"/>
      <c r="J97" s="86"/>
      <c r="L97" s="86"/>
      <c r="N97" s="961"/>
    </row>
    <row r="98" spans="1:14">
      <c r="A98" s="101"/>
      <c r="B98" s="108"/>
      <c r="C98" s="108"/>
      <c r="D98" s="111"/>
      <c r="E98" s="98"/>
      <c r="F98" s="86"/>
      <c r="H98" s="86"/>
      <c r="J98" s="86"/>
      <c r="L98" s="86"/>
      <c r="N98" s="961"/>
    </row>
    <row r="99" spans="1:14">
      <c r="A99" s="136" t="s">
        <v>61</v>
      </c>
      <c r="B99" s="108"/>
      <c r="C99" s="108"/>
      <c r="D99" s="111" t="s">
        <v>15</v>
      </c>
      <c r="E99" s="7">
        <v>178000</v>
      </c>
      <c r="F99" s="86"/>
      <c r="H99" s="86"/>
      <c r="J99" s="86"/>
      <c r="L99" s="86"/>
      <c r="N99" s="961"/>
    </row>
    <row r="100" spans="1:14" ht="15.75">
      <c r="A100" s="136" t="s">
        <v>312</v>
      </c>
      <c r="B100" s="108"/>
      <c r="C100" s="108"/>
      <c r="D100" s="111"/>
      <c r="E100" s="137">
        <v>273000</v>
      </c>
      <c r="F100" s="86"/>
      <c r="H100" s="86"/>
      <c r="J100" s="86"/>
      <c r="L100" s="86"/>
      <c r="N100" s="961"/>
    </row>
    <row r="101" spans="1:14">
      <c r="A101" s="1320" t="s">
        <v>64</v>
      </c>
      <c r="B101" s="1321"/>
      <c r="C101" s="108"/>
      <c r="D101" s="111" t="s">
        <v>15</v>
      </c>
      <c r="E101" s="7">
        <f>SUM(E99:E100)</f>
        <v>451000</v>
      </c>
      <c r="F101" s="86"/>
      <c r="H101" s="86"/>
      <c r="J101" s="86"/>
      <c r="L101" s="86"/>
      <c r="N101" s="961"/>
    </row>
    <row r="102" spans="1:14">
      <c r="A102" s="138"/>
      <c r="B102" s="90"/>
      <c r="C102" s="90"/>
      <c r="D102" s="139"/>
      <c r="E102" s="112"/>
      <c r="F102" s="86"/>
      <c r="H102" s="86"/>
      <c r="J102" s="86"/>
      <c r="L102" s="86"/>
      <c r="N102" s="961"/>
    </row>
  </sheetData>
  <sheetProtection algorithmName="SHA-512" hashValue="uoFVhHZGsZi07EAd7DuvAdU5VdlTP3xDi5A9rW5tMgIi5N0oUrCequ9SjJ00bPmt11PtdUNHc2A5ajHjuDZAsQ==" saltValue="zhjssZojXKTB3ryiU3uQJQ==" spinCount="100000" sheet="1" objects="1" scenarios="1"/>
  <mergeCells count="31">
    <mergeCell ref="N11:O13"/>
    <mergeCell ref="J12:K13"/>
    <mergeCell ref="H12:I12"/>
    <mergeCell ref="H13:I13"/>
    <mergeCell ref="F12:G12"/>
    <mergeCell ref="A101:B101"/>
    <mergeCell ref="A30:B30"/>
    <mergeCell ref="A41:B41"/>
    <mergeCell ref="D13:E13"/>
    <mergeCell ref="D12:E12"/>
    <mergeCell ref="A96:B96"/>
    <mergeCell ref="A61:B61"/>
    <mergeCell ref="A66:B66"/>
    <mergeCell ref="A58:B58"/>
    <mergeCell ref="A43:B43"/>
    <mergeCell ref="A53:B53"/>
    <mergeCell ref="D48:G48"/>
    <mergeCell ref="A48:C48"/>
    <mergeCell ref="A49:C49"/>
    <mergeCell ref="A3:M3"/>
    <mergeCell ref="A4:M4"/>
    <mergeCell ref="I48:M48"/>
    <mergeCell ref="I49:M49"/>
    <mergeCell ref="L12:M12"/>
    <mergeCell ref="D11:E11"/>
    <mergeCell ref="F11:K11"/>
    <mergeCell ref="L11:M11"/>
    <mergeCell ref="F13:G13"/>
    <mergeCell ref="A12:B12"/>
    <mergeCell ref="L13:M13"/>
    <mergeCell ref="D49:G49"/>
  </mergeCells>
  <phoneticPr fontId="0" type="noConversion"/>
  <pageMargins left="0" right="0" top="0.75" bottom="0.39370078740157499" header="0.5" footer="0.51180993000874897"/>
  <pageSetup paperSize="14" scale="99" orientation="portrait" verticalDpi="300" copies="3" r:id="rId1"/>
  <headerFooter alignWithMargins="0"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142"/>
  <sheetViews>
    <sheetView topLeftCell="A22" zoomScale="190" zoomScaleNormal="190" workbookViewId="0">
      <selection activeCell="E34" sqref="E34"/>
    </sheetView>
  </sheetViews>
  <sheetFormatPr defaultColWidth="9.140625" defaultRowHeight="12.75"/>
  <cols>
    <col min="1" max="1" width="5.5703125" style="8" customWidth="1"/>
    <col min="2" max="2" width="28" style="8" customWidth="1"/>
    <col min="3" max="3" width="9.28515625" style="8" customWidth="1"/>
    <col min="4" max="4" width="1.7109375" style="9" customWidth="1"/>
    <col min="5" max="5" width="10.42578125" style="8" customWidth="1"/>
    <col min="6" max="6" width="1.42578125" style="8" customWidth="1"/>
    <col min="7" max="7" width="10.7109375" style="8" customWidth="1"/>
    <col min="8" max="8" width="1.42578125" style="8" customWidth="1"/>
    <col min="9" max="9" width="10.28515625" style="8" customWidth="1"/>
    <col min="10" max="10" width="1.140625" style="9" customWidth="1"/>
    <col min="11" max="11" width="10.42578125" style="8" customWidth="1"/>
    <col min="12" max="12" width="1.28515625" style="9" customWidth="1"/>
    <col min="13" max="13" width="10.42578125" style="8" customWidth="1"/>
    <col min="14" max="14" width="1.140625" style="9" hidden="1" customWidth="1"/>
    <col min="15" max="15" width="0.140625" style="8" hidden="1" customWidth="1"/>
    <col min="16" max="17" width="10.28515625" style="917" hidden="1" customWidth="1"/>
    <col min="18" max="18" width="10.28515625" style="922" bestFit="1" customWidth="1"/>
    <col min="19" max="16384" width="9.140625" style="8"/>
  </cols>
  <sheetData>
    <row r="1" spans="1:15">
      <c r="A1" s="8" t="s">
        <v>186</v>
      </c>
    </row>
    <row r="2" spans="1:15" ht="6" customHeight="1"/>
    <row r="3" spans="1:15">
      <c r="A3" s="1254" t="s">
        <v>195</v>
      </c>
      <c r="B3" s="1254"/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8"/>
    </row>
    <row r="4" spans="1:15">
      <c r="A4" s="1254" t="s">
        <v>394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8"/>
    </row>
    <row r="5" spans="1:15" ht="9" customHeight="1"/>
    <row r="6" spans="1:15">
      <c r="A6" s="11" t="s">
        <v>85</v>
      </c>
      <c r="B6" s="12" t="s">
        <v>395</v>
      </c>
      <c r="C6" s="12"/>
    </row>
    <row r="7" spans="1:15" hidden="1">
      <c r="A7" s="8" t="s">
        <v>2</v>
      </c>
      <c r="B7" s="13" t="s">
        <v>396</v>
      </c>
      <c r="C7" s="13"/>
      <c r="F7" s="1298"/>
      <c r="G7" s="1298"/>
      <c r="H7" s="1298"/>
      <c r="I7" s="1298"/>
      <c r="J7" s="1298"/>
      <c r="K7" s="1298"/>
      <c r="L7" s="1298"/>
      <c r="M7" s="1298"/>
      <c r="N7" s="8"/>
    </row>
    <row r="8" spans="1:15" hidden="1">
      <c r="A8" s="8" t="s">
        <v>3</v>
      </c>
      <c r="B8" s="13" t="s">
        <v>397</v>
      </c>
      <c r="C8" s="13"/>
      <c r="F8" s="1299"/>
      <c r="G8" s="1299"/>
      <c r="H8" s="1299"/>
      <c r="I8" s="1299"/>
      <c r="J8" s="1299"/>
      <c r="K8" s="1299"/>
      <c r="L8" s="1299"/>
      <c r="M8" s="1299"/>
      <c r="N8" s="8"/>
    </row>
    <row r="9" spans="1:15" hidden="1">
      <c r="A9" s="8" t="s">
        <v>4</v>
      </c>
      <c r="B9" s="13" t="s">
        <v>398</v>
      </c>
      <c r="C9" s="13"/>
    </row>
    <row r="10" spans="1:15" ht="6" customHeight="1">
      <c r="B10" s="14"/>
      <c r="C10" s="14"/>
    </row>
    <row r="11" spans="1:15" ht="13.5" customHeight="1">
      <c r="A11" s="15"/>
      <c r="B11" s="16"/>
      <c r="C11" s="361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292" t="s">
        <v>494</v>
      </c>
      <c r="O11" s="1293"/>
    </row>
    <row r="12" spans="1:15">
      <c r="A12" s="1308" t="s">
        <v>34</v>
      </c>
      <c r="B12" s="1309"/>
      <c r="C12" s="18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294"/>
      <c r="O12" s="1295"/>
    </row>
    <row r="13" spans="1:15">
      <c r="A13" s="19"/>
      <c r="B13" s="20"/>
      <c r="C13" s="21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296"/>
      <c r="O13" s="1297"/>
    </row>
    <row r="14" spans="1:15" ht="14.25" customHeight="1">
      <c r="A14" s="22" t="s">
        <v>281</v>
      </c>
      <c r="B14" s="23"/>
      <c r="C14" s="24"/>
      <c r="D14" s="25"/>
      <c r="E14" s="26"/>
      <c r="F14" s="27"/>
      <c r="G14" s="26"/>
      <c r="H14" s="27"/>
      <c r="I14" s="26"/>
      <c r="J14" s="25"/>
      <c r="K14" s="26"/>
      <c r="L14" s="25"/>
      <c r="M14" s="26"/>
      <c r="N14" s="25"/>
      <c r="O14" s="26"/>
    </row>
    <row r="15" spans="1:15" ht="13.5" customHeight="1">
      <c r="A15" s="28" t="s">
        <v>262</v>
      </c>
      <c r="B15" s="23"/>
      <c r="C15" s="24"/>
      <c r="D15" s="25"/>
      <c r="E15" s="26"/>
      <c r="F15" s="27"/>
      <c r="G15" s="26"/>
      <c r="H15" s="27"/>
      <c r="I15" s="26"/>
      <c r="J15" s="25"/>
      <c r="K15" s="26"/>
      <c r="L15" s="25"/>
      <c r="M15" s="26"/>
      <c r="N15" s="25"/>
      <c r="O15" s="26"/>
    </row>
    <row r="16" spans="1:15" ht="11.25" customHeight="1">
      <c r="A16" s="28" t="s">
        <v>263</v>
      </c>
      <c r="B16" s="23"/>
      <c r="C16" s="29" t="s">
        <v>114</v>
      </c>
      <c r="D16" s="25" t="s">
        <v>15</v>
      </c>
      <c r="E16" s="26">
        <v>5779195.0800000001</v>
      </c>
      <c r="F16" s="25" t="s">
        <v>15</v>
      </c>
      <c r="G16" s="26">
        <v>2862586</v>
      </c>
      <c r="H16" s="25" t="s">
        <v>15</v>
      </c>
      <c r="I16" s="26">
        <f>K16-G16</f>
        <v>3252146</v>
      </c>
      <c r="J16" s="25" t="s">
        <v>15</v>
      </c>
      <c r="K16" s="26">
        <v>6114732</v>
      </c>
      <c r="L16" s="25" t="s">
        <v>15</v>
      </c>
      <c r="M16" s="26">
        <v>7213824</v>
      </c>
      <c r="N16" s="30" t="s">
        <v>15</v>
      </c>
      <c r="O16" s="31"/>
    </row>
    <row r="17" spans="1:15" ht="10.5" customHeight="1">
      <c r="A17" s="28" t="s">
        <v>264</v>
      </c>
      <c r="B17" s="23"/>
      <c r="C17" s="29" t="s">
        <v>115</v>
      </c>
      <c r="D17" s="25"/>
      <c r="E17" s="26">
        <v>4051488.83</v>
      </c>
      <c r="F17" s="27"/>
      <c r="G17" s="26">
        <v>2483182.83</v>
      </c>
      <c r="H17" s="27"/>
      <c r="I17" s="26">
        <f t="shared" ref="I17:I36" si="0">K17-G17</f>
        <v>2890141.17</v>
      </c>
      <c r="J17" s="25"/>
      <c r="K17" s="26">
        <v>5373324</v>
      </c>
      <c r="L17" s="25"/>
      <c r="M17" s="26">
        <v>5697048</v>
      </c>
      <c r="N17" s="742"/>
      <c r="O17" s="743">
        <v>0</v>
      </c>
    </row>
    <row r="18" spans="1:15" ht="11.25" customHeight="1">
      <c r="A18" s="28" t="s">
        <v>265</v>
      </c>
      <c r="B18" s="23"/>
      <c r="C18" s="29"/>
      <c r="D18" s="25"/>
      <c r="E18" s="26"/>
      <c r="F18" s="27"/>
      <c r="G18" s="26"/>
      <c r="H18" s="27"/>
      <c r="I18" s="26"/>
      <c r="J18" s="25"/>
      <c r="K18" s="26"/>
      <c r="L18" s="25"/>
      <c r="M18" s="26"/>
      <c r="N18" s="742"/>
      <c r="O18" s="743"/>
    </row>
    <row r="19" spans="1:15" ht="11.25" customHeight="1">
      <c r="A19" s="28" t="s">
        <v>266</v>
      </c>
      <c r="B19" s="23"/>
      <c r="C19" s="29" t="s">
        <v>116</v>
      </c>
      <c r="D19" s="25"/>
      <c r="E19" s="26">
        <v>894820.94</v>
      </c>
      <c r="F19" s="27"/>
      <c r="G19" s="26">
        <v>506713.04</v>
      </c>
      <c r="H19" s="27"/>
      <c r="I19" s="26">
        <f t="shared" si="0"/>
        <v>597286.96</v>
      </c>
      <c r="J19" s="25"/>
      <c r="K19" s="26">
        <v>1104000</v>
      </c>
      <c r="L19" s="25"/>
      <c r="M19" s="26">
        <v>1224000</v>
      </c>
      <c r="N19" s="742"/>
      <c r="O19" s="743">
        <v>0</v>
      </c>
    </row>
    <row r="20" spans="1:15" ht="11.25" customHeight="1">
      <c r="A20" s="28" t="s">
        <v>267</v>
      </c>
      <c r="B20" s="23"/>
      <c r="C20" s="29" t="s">
        <v>117</v>
      </c>
      <c r="D20" s="25"/>
      <c r="E20" s="26">
        <v>97200</v>
      </c>
      <c r="F20" s="27"/>
      <c r="G20" s="26">
        <v>48600</v>
      </c>
      <c r="H20" s="27"/>
      <c r="I20" s="26">
        <f t="shared" si="0"/>
        <v>48600</v>
      </c>
      <c r="J20" s="25"/>
      <c r="K20" s="26">
        <v>97200</v>
      </c>
      <c r="L20" s="25"/>
      <c r="M20" s="26">
        <v>97200</v>
      </c>
      <c r="N20" s="742"/>
      <c r="O20" s="743">
        <v>0</v>
      </c>
    </row>
    <row r="21" spans="1:15" ht="11.25" customHeight="1">
      <c r="A21" s="28" t="s">
        <v>268</v>
      </c>
      <c r="B21" s="32"/>
      <c r="C21" s="29" t="s">
        <v>118</v>
      </c>
      <c r="D21" s="25"/>
      <c r="E21" s="26">
        <v>97200</v>
      </c>
      <c r="F21" s="27"/>
      <c r="G21" s="26">
        <v>48600</v>
      </c>
      <c r="H21" s="27"/>
      <c r="I21" s="26">
        <f t="shared" si="0"/>
        <v>48600</v>
      </c>
      <c r="J21" s="25"/>
      <c r="K21" s="26">
        <v>97200</v>
      </c>
      <c r="L21" s="25"/>
      <c r="M21" s="26">
        <v>97200</v>
      </c>
      <c r="N21" s="742"/>
      <c r="O21" s="743">
        <v>0</v>
      </c>
    </row>
    <row r="22" spans="1:15" ht="11.25" customHeight="1">
      <c r="A22" s="28" t="s">
        <v>269</v>
      </c>
      <c r="B22" s="32"/>
      <c r="C22" s="29" t="s">
        <v>119</v>
      </c>
      <c r="D22" s="25"/>
      <c r="E22" s="26">
        <v>216000</v>
      </c>
      <c r="F22" s="27"/>
      <c r="G22" s="26">
        <v>252000</v>
      </c>
      <c r="H22" s="27"/>
      <c r="I22" s="26">
        <f t="shared" si="0"/>
        <v>24000</v>
      </c>
      <c r="J22" s="25"/>
      <c r="K22" s="26">
        <v>276000</v>
      </c>
      <c r="L22" s="25"/>
      <c r="M22" s="26">
        <v>306000</v>
      </c>
      <c r="N22" s="742"/>
      <c r="O22" s="743">
        <v>0</v>
      </c>
    </row>
    <row r="23" spans="1:15" ht="11.25" customHeight="1">
      <c r="A23" s="28" t="s">
        <v>270</v>
      </c>
      <c r="B23" s="32"/>
      <c r="C23" s="29" t="s">
        <v>120</v>
      </c>
      <c r="D23" s="25"/>
      <c r="E23" s="26">
        <v>199000</v>
      </c>
      <c r="F23" s="27"/>
      <c r="G23" s="26">
        <v>0</v>
      </c>
      <c r="H23" s="27"/>
      <c r="I23" s="26">
        <f t="shared" si="0"/>
        <v>230000</v>
      </c>
      <c r="J23" s="25"/>
      <c r="K23" s="26">
        <v>230000</v>
      </c>
      <c r="L23" s="25"/>
      <c r="M23" s="26">
        <v>255000</v>
      </c>
      <c r="N23" s="742"/>
      <c r="O23" s="743">
        <v>0</v>
      </c>
    </row>
    <row r="24" spans="1:15" ht="11.25" customHeight="1">
      <c r="A24" s="28" t="s">
        <v>271</v>
      </c>
      <c r="B24" s="23"/>
      <c r="C24" s="29" t="s">
        <v>121</v>
      </c>
      <c r="D24" s="25"/>
      <c r="E24" s="26">
        <v>810438.54</v>
      </c>
      <c r="F24" s="27"/>
      <c r="G24" s="26">
        <v>0</v>
      </c>
      <c r="H24" s="27"/>
      <c r="I24" s="26">
        <f t="shared" si="0"/>
        <v>957338</v>
      </c>
      <c r="J24" s="25"/>
      <c r="K24" s="26">
        <v>957338</v>
      </c>
      <c r="L24" s="25"/>
      <c r="M24" s="26">
        <v>1075906</v>
      </c>
      <c r="N24" s="742"/>
      <c r="O24" s="743">
        <v>0</v>
      </c>
    </row>
    <row r="25" spans="1:15" ht="11.25" customHeight="1">
      <c r="A25" s="28" t="s">
        <v>278</v>
      </c>
      <c r="B25" s="33"/>
      <c r="C25" s="29" t="s">
        <v>258</v>
      </c>
      <c r="D25" s="25"/>
      <c r="E25" s="26"/>
      <c r="F25" s="27"/>
      <c r="G25" s="26"/>
      <c r="H25" s="27"/>
      <c r="I25" s="26">
        <f t="shared" si="0"/>
        <v>0</v>
      </c>
      <c r="J25" s="25"/>
      <c r="K25" s="26"/>
      <c r="L25" s="25"/>
      <c r="M25" s="26"/>
      <c r="N25" s="742"/>
      <c r="O25" s="743"/>
    </row>
    <row r="26" spans="1:15" ht="11.25" customHeight="1">
      <c r="A26" s="28" t="s">
        <v>279</v>
      </c>
      <c r="B26" s="33"/>
      <c r="C26" s="29"/>
      <c r="D26" s="25"/>
      <c r="E26" s="26">
        <v>769736.74</v>
      </c>
      <c r="F26" s="27"/>
      <c r="G26" s="26">
        <v>903509.74</v>
      </c>
      <c r="H26" s="27"/>
      <c r="I26" s="26">
        <f t="shared" si="0"/>
        <v>53828.260000000009</v>
      </c>
      <c r="J26" s="25"/>
      <c r="K26" s="26">
        <v>957338</v>
      </c>
      <c r="L26" s="25"/>
      <c r="M26" s="26">
        <v>1075906</v>
      </c>
      <c r="N26" s="742"/>
      <c r="O26" s="743">
        <v>0</v>
      </c>
    </row>
    <row r="27" spans="1:15" ht="11.25" customHeight="1">
      <c r="A27" s="28" t="s">
        <v>280</v>
      </c>
      <c r="B27" s="33"/>
      <c r="C27" s="29"/>
      <c r="D27" s="25"/>
      <c r="E27" s="26">
        <v>0</v>
      </c>
      <c r="F27" s="27"/>
      <c r="G27" s="26">
        <v>120000</v>
      </c>
      <c r="H27" s="27"/>
      <c r="I27" s="26">
        <f t="shared" si="0"/>
        <v>18000</v>
      </c>
      <c r="J27" s="25"/>
      <c r="K27" s="26">
        <v>138000</v>
      </c>
      <c r="L27" s="25"/>
      <c r="M27" s="26">
        <v>0</v>
      </c>
      <c r="N27" s="742"/>
      <c r="O27" s="743">
        <v>0</v>
      </c>
    </row>
    <row r="28" spans="1:15" ht="11.25" customHeight="1">
      <c r="A28" s="28" t="s">
        <v>272</v>
      </c>
      <c r="B28" s="23"/>
      <c r="C28" s="29" t="s">
        <v>122</v>
      </c>
      <c r="D28" s="25"/>
      <c r="E28" s="26">
        <v>1150286.3400000001</v>
      </c>
      <c r="F28" s="27"/>
      <c r="G28" s="26">
        <v>651540.65</v>
      </c>
      <c r="H28" s="27"/>
      <c r="I28" s="26">
        <f t="shared" si="0"/>
        <v>727026.35</v>
      </c>
      <c r="J28" s="25"/>
      <c r="K28" s="26">
        <v>1378567</v>
      </c>
      <c r="L28" s="25"/>
      <c r="M28" s="26">
        <v>1549305</v>
      </c>
      <c r="N28" s="742"/>
      <c r="O28" s="743">
        <v>0</v>
      </c>
    </row>
    <row r="29" spans="1:15" ht="11.25" customHeight="1">
      <c r="A29" s="28" t="s">
        <v>273</v>
      </c>
      <c r="B29" s="23"/>
      <c r="C29" s="29" t="s">
        <v>123</v>
      </c>
      <c r="D29" s="25"/>
      <c r="E29" s="26">
        <v>191444.43</v>
      </c>
      <c r="F29" s="27"/>
      <c r="G29" s="26">
        <v>39498.94</v>
      </c>
      <c r="H29" s="27"/>
      <c r="I29" s="26">
        <f t="shared" si="0"/>
        <v>190445.06</v>
      </c>
      <c r="J29" s="25"/>
      <c r="K29" s="26">
        <v>229944</v>
      </c>
      <c r="L29" s="25"/>
      <c r="M29" s="26">
        <v>61200</v>
      </c>
      <c r="N29" s="742"/>
      <c r="O29" s="743">
        <v>0</v>
      </c>
    </row>
    <row r="30" spans="1:15" ht="11.25" customHeight="1">
      <c r="A30" s="28" t="s">
        <v>274</v>
      </c>
      <c r="B30" s="23"/>
      <c r="C30" s="29" t="s">
        <v>124</v>
      </c>
      <c r="D30" s="25"/>
      <c r="E30" s="26">
        <v>133978.37</v>
      </c>
      <c r="F30" s="27"/>
      <c r="G30" s="26">
        <v>80260.25</v>
      </c>
      <c r="H30" s="27"/>
      <c r="I30" s="26">
        <f t="shared" si="0"/>
        <v>140623.75</v>
      </c>
      <c r="J30" s="25"/>
      <c r="K30" s="26">
        <v>220884</v>
      </c>
      <c r="L30" s="25"/>
      <c r="M30" s="26">
        <v>283284</v>
      </c>
      <c r="N30" s="742"/>
      <c r="O30" s="743">
        <v>0</v>
      </c>
    </row>
    <row r="31" spans="1:15" ht="11.25" customHeight="1">
      <c r="A31" s="28" t="s">
        <v>275</v>
      </c>
      <c r="B31" s="23"/>
      <c r="C31" s="29" t="s">
        <v>125</v>
      </c>
      <c r="D31" s="25"/>
      <c r="E31" s="26">
        <v>46000</v>
      </c>
      <c r="F31" s="27"/>
      <c r="G31" s="26">
        <v>26100</v>
      </c>
      <c r="H31" s="27"/>
      <c r="I31" s="26">
        <f t="shared" si="0"/>
        <v>29100</v>
      </c>
      <c r="J31" s="25"/>
      <c r="K31" s="26">
        <v>55200</v>
      </c>
      <c r="L31" s="25"/>
      <c r="M31" s="26">
        <v>61200</v>
      </c>
      <c r="N31" s="742"/>
      <c r="O31" s="743">
        <v>0</v>
      </c>
    </row>
    <row r="32" spans="1:15" ht="11.25" customHeight="1">
      <c r="A32" s="28" t="s">
        <v>276</v>
      </c>
      <c r="B32" s="33"/>
      <c r="C32" s="29" t="s">
        <v>161</v>
      </c>
      <c r="D32" s="25"/>
      <c r="E32" s="26"/>
      <c r="F32" s="25"/>
      <c r="G32" s="26"/>
      <c r="H32" s="25"/>
      <c r="I32" s="26">
        <f t="shared" si="0"/>
        <v>0</v>
      </c>
      <c r="J32" s="25"/>
      <c r="K32" s="26"/>
      <c r="L32" s="25"/>
      <c r="M32" s="26"/>
      <c r="N32" s="742"/>
      <c r="O32" s="743"/>
    </row>
    <row r="33" spans="1:18" ht="11.25" customHeight="1">
      <c r="A33" s="28" t="s">
        <v>292</v>
      </c>
      <c r="B33" s="33"/>
      <c r="C33" s="29"/>
      <c r="D33" s="25"/>
      <c r="E33" s="26"/>
      <c r="F33" s="25"/>
      <c r="G33" s="26"/>
      <c r="H33" s="25"/>
      <c r="I33" s="26">
        <f t="shared" si="0"/>
        <v>0</v>
      </c>
      <c r="J33" s="25"/>
      <c r="K33" s="26">
        <v>0</v>
      </c>
      <c r="L33" s="25"/>
      <c r="M33" s="26">
        <v>654926</v>
      </c>
      <c r="N33" s="742"/>
      <c r="O33" s="743">
        <v>0</v>
      </c>
    </row>
    <row r="34" spans="1:18" ht="11.25" customHeight="1">
      <c r="A34" s="28" t="s">
        <v>284</v>
      </c>
      <c r="B34" s="33"/>
      <c r="C34" s="29"/>
      <c r="D34" s="25"/>
      <c r="E34" s="26">
        <v>205000</v>
      </c>
      <c r="F34" s="27"/>
      <c r="G34" s="26">
        <v>0</v>
      </c>
      <c r="H34" s="27"/>
      <c r="I34" s="26">
        <f t="shared" si="0"/>
        <v>230000</v>
      </c>
      <c r="J34" s="25"/>
      <c r="K34" s="26">
        <v>230000</v>
      </c>
      <c r="L34" s="25"/>
      <c r="M34" s="26">
        <v>255000</v>
      </c>
      <c r="N34" s="742"/>
      <c r="O34" s="743">
        <v>0</v>
      </c>
    </row>
    <row r="35" spans="1:18" ht="11.25" customHeight="1">
      <c r="A35" s="28" t="s">
        <v>1155</v>
      </c>
      <c r="B35" s="33"/>
      <c r="C35" s="29"/>
      <c r="D35" s="25"/>
      <c r="E35" s="26">
        <v>0</v>
      </c>
      <c r="F35" s="27"/>
      <c r="G35" s="26">
        <v>0</v>
      </c>
      <c r="H35" s="27"/>
      <c r="I35" s="26">
        <f t="shared" si="0"/>
        <v>507504</v>
      </c>
      <c r="J35" s="25"/>
      <c r="K35" s="26">
        <v>507504</v>
      </c>
      <c r="L35" s="25"/>
      <c r="M35" s="26">
        <v>0</v>
      </c>
      <c r="N35" s="742"/>
      <c r="O35" s="743">
        <v>0</v>
      </c>
    </row>
    <row r="36" spans="1:18" ht="11.25" customHeight="1">
      <c r="A36" s="28" t="s">
        <v>285</v>
      </c>
      <c r="B36" s="33"/>
      <c r="C36" s="29"/>
      <c r="D36" s="25"/>
      <c r="E36" s="26">
        <v>15000</v>
      </c>
      <c r="F36" s="27"/>
      <c r="G36" s="26">
        <v>10000</v>
      </c>
      <c r="H36" s="27"/>
      <c r="I36" s="26">
        <f t="shared" si="0"/>
        <v>0</v>
      </c>
      <c r="J36" s="25"/>
      <c r="K36" s="31">
        <v>10000</v>
      </c>
      <c r="L36" s="30"/>
      <c r="M36" s="31">
        <v>15000</v>
      </c>
      <c r="N36" s="742"/>
      <c r="O36" s="743">
        <v>0</v>
      </c>
    </row>
    <row r="37" spans="1:18" ht="11.25" customHeight="1">
      <c r="A37" s="1251" t="s">
        <v>14</v>
      </c>
      <c r="B37" s="1252"/>
      <c r="C37" s="29"/>
      <c r="D37" s="35" t="s">
        <v>15</v>
      </c>
      <c r="E37" s="36">
        <f>SUM(E16:E36)</f>
        <v>14656789.27</v>
      </c>
      <c r="F37" s="35" t="s">
        <v>15</v>
      </c>
      <c r="G37" s="36">
        <f>SUM(G16:G36)</f>
        <v>8032591.4500000011</v>
      </c>
      <c r="H37" s="35" t="s">
        <v>15</v>
      </c>
      <c r="I37" s="36">
        <f>SUM(I16:I36)</f>
        <v>9944639.5500000007</v>
      </c>
      <c r="J37" s="35" t="s">
        <v>15</v>
      </c>
      <c r="K37" s="36">
        <f>SUM(K16:K36)</f>
        <v>17977231</v>
      </c>
      <c r="L37" s="35" t="s">
        <v>15</v>
      </c>
      <c r="M37" s="36">
        <f>SUM(M16:M36)</f>
        <v>19921999</v>
      </c>
      <c r="N37" s="35" t="s">
        <v>15</v>
      </c>
      <c r="O37" s="36">
        <f>SUM(O16:O36)</f>
        <v>0</v>
      </c>
    </row>
    <row r="38" spans="1:18" ht="11.25" customHeight="1">
      <c r="A38" s="22" t="s">
        <v>282</v>
      </c>
      <c r="B38" s="23"/>
      <c r="C38" s="29"/>
      <c r="D38" s="42"/>
      <c r="E38" s="43"/>
      <c r="F38" s="44"/>
      <c r="G38" s="44"/>
      <c r="H38" s="45"/>
      <c r="I38" s="43"/>
      <c r="J38" s="42"/>
      <c r="K38" s="43"/>
      <c r="L38" s="46"/>
      <c r="M38" s="43"/>
      <c r="N38" s="46"/>
      <c r="O38" s="43"/>
      <c r="P38" s="917" t="s">
        <v>1160</v>
      </c>
      <c r="Q38" s="917" t="s">
        <v>1191</v>
      </c>
    </row>
    <row r="39" spans="1:18" ht="11.25" customHeight="1">
      <c r="A39" s="28" t="s">
        <v>41</v>
      </c>
      <c r="B39" s="23"/>
      <c r="C39" s="29" t="s">
        <v>126</v>
      </c>
      <c r="D39" s="40" t="s">
        <v>15</v>
      </c>
      <c r="E39" s="26">
        <v>808750</v>
      </c>
      <c r="F39" s="40" t="s">
        <v>15</v>
      </c>
      <c r="G39" s="26">
        <v>948251.71</v>
      </c>
      <c r="H39" s="25" t="s">
        <v>15</v>
      </c>
      <c r="I39" s="26">
        <f t="shared" ref="I39:I85" si="1">K39-G39</f>
        <v>1426748.29</v>
      </c>
      <c r="J39" s="40" t="s">
        <v>15</v>
      </c>
      <c r="K39" s="26">
        <f>2340000+35000</f>
        <v>2375000</v>
      </c>
      <c r="L39" s="25" t="s">
        <v>15</v>
      </c>
      <c r="M39" s="871">
        <v>1960100</v>
      </c>
      <c r="N39" s="30" t="s">
        <v>15</v>
      </c>
      <c r="O39" s="31">
        <f>M39-K39</f>
        <v>-414900</v>
      </c>
      <c r="P39" s="917">
        <v>35000</v>
      </c>
    </row>
    <row r="40" spans="1:18" ht="11.25" customHeight="1">
      <c r="A40" s="28" t="s">
        <v>42</v>
      </c>
      <c r="B40" s="23"/>
      <c r="C40" s="29" t="s">
        <v>127</v>
      </c>
      <c r="D40" s="40"/>
      <c r="E40" s="26">
        <v>295378</v>
      </c>
      <c r="F40" s="47"/>
      <c r="G40" s="26">
        <v>422903.38</v>
      </c>
      <c r="H40" s="27"/>
      <c r="I40" s="26">
        <f t="shared" si="1"/>
        <v>1197096.6200000001</v>
      </c>
      <c r="J40" s="40"/>
      <c r="K40" s="26">
        <f>1590000+30000</f>
        <v>1620000</v>
      </c>
      <c r="L40" s="25"/>
      <c r="M40" s="871">
        <v>1439000</v>
      </c>
      <c r="N40" s="742"/>
      <c r="O40" s="31">
        <f t="shared" ref="O40:O72" si="2">M40-K40</f>
        <v>-181000</v>
      </c>
      <c r="Q40" s="917">
        <v>30000</v>
      </c>
    </row>
    <row r="41" spans="1:18" ht="11.25" customHeight="1">
      <c r="A41" s="28" t="s">
        <v>28</v>
      </c>
      <c r="B41" s="33"/>
      <c r="C41" s="29" t="s">
        <v>128</v>
      </c>
      <c r="D41" s="25"/>
      <c r="E41" s="26">
        <v>480696</v>
      </c>
      <c r="F41" s="27"/>
      <c r="G41" s="26">
        <v>87449</v>
      </c>
      <c r="H41" s="27"/>
      <c r="I41" s="26">
        <f t="shared" si="1"/>
        <v>1124551</v>
      </c>
      <c r="J41" s="40"/>
      <c r="K41" s="26">
        <f>1142000+35000+35000</f>
        <v>1212000</v>
      </c>
      <c r="L41" s="25"/>
      <c r="M41" s="871">
        <v>819050</v>
      </c>
      <c r="N41" s="742"/>
      <c r="O41" s="31">
        <f t="shared" si="2"/>
        <v>-392950</v>
      </c>
      <c r="P41" s="917">
        <v>35000</v>
      </c>
      <c r="Q41" s="917">
        <v>35000</v>
      </c>
    </row>
    <row r="42" spans="1:18" ht="11.25" customHeight="1">
      <c r="A42" s="28" t="s">
        <v>47</v>
      </c>
      <c r="B42" s="23"/>
      <c r="C42" s="29" t="s">
        <v>165</v>
      </c>
      <c r="D42" s="40"/>
      <c r="E42" s="26">
        <v>239360</v>
      </c>
      <c r="F42" s="40"/>
      <c r="G42" s="26">
        <v>0</v>
      </c>
      <c r="H42" s="40"/>
      <c r="I42" s="26">
        <f t="shared" ref="I42" si="3">K42-G42</f>
        <v>0</v>
      </c>
      <c r="J42" s="40"/>
      <c r="K42" s="26">
        <v>0</v>
      </c>
      <c r="L42" s="25"/>
      <c r="M42" s="871">
        <v>0</v>
      </c>
      <c r="N42" s="742"/>
      <c r="O42" s="31">
        <f t="shared" ref="O42" si="4">M42-K42</f>
        <v>0</v>
      </c>
      <c r="P42" s="917">
        <v>50000</v>
      </c>
      <c r="Q42" s="917">
        <v>15000</v>
      </c>
    </row>
    <row r="43" spans="1:18" ht="11.25" customHeight="1">
      <c r="A43" s="28" t="s">
        <v>130</v>
      </c>
      <c r="B43" s="23"/>
      <c r="C43" s="29" t="s">
        <v>129</v>
      </c>
      <c r="D43" s="40"/>
      <c r="E43" s="26">
        <v>2257391.7599999998</v>
      </c>
      <c r="F43" s="40"/>
      <c r="G43" s="26">
        <v>887033.51</v>
      </c>
      <c r="H43" s="40"/>
      <c r="I43" s="26">
        <f t="shared" si="1"/>
        <v>3072966.49</v>
      </c>
      <c r="J43" s="40"/>
      <c r="K43" s="26">
        <f>3895000+50000+15000</f>
        <v>3960000</v>
      </c>
      <c r="L43" s="25"/>
      <c r="M43" s="871">
        <v>3469300</v>
      </c>
      <c r="N43" s="742"/>
      <c r="O43" s="31">
        <f t="shared" si="2"/>
        <v>-490700</v>
      </c>
      <c r="P43" s="917">
        <v>50000</v>
      </c>
      <c r="Q43" s="917">
        <v>15000</v>
      </c>
    </row>
    <row r="44" spans="1:18" ht="11.25" customHeight="1">
      <c r="A44" s="28" t="s">
        <v>297</v>
      </c>
      <c r="B44" s="23"/>
      <c r="C44" s="29" t="s">
        <v>174</v>
      </c>
      <c r="D44" s="40"/>
      <c r="E44" s="26">
        <v>3141779.46</v>
      </c>
      <c r="F44" s="47"/>
      <c r="G44" s="26">
        <v>0</v>
      </c>
      <c r="H44" s="27"/>
      <c r="I44" s="26">
        <f t="shared" si="1"/>
        <v>3222000</v>
      </c>
      <c r="J44" s="40"/>
      <c r="K44" s="26">
        <f>3002000+160000+60000</f>
        <v>3222000</v>
      </c>
      <c r="L44" s="25"/>
      <c r="M44" s="871">
        <v>1423700</v>
      </c>
      <c r="N44" s="742"/>
      <c r="O44" s="31">
        <f t="shared" si="2"/>
        <v>-1798300</v>
      </c>
      <c r="P44" s="917">
        <v>160000</v>
      </c>
      <c r="Q44" s="917">
        <v>60000</v>
      </c>
      <c r="R44" s="922" t="s">
        <v>1095</v>
      </c>
    </row>
    <row r="45" spans="1:18" ht="11.25" customHeight="1">
      <c r="A45" s="28" t="s">
        <v>132</v>
      </c>
      <c r="B45" s="23"/>
      <c r="C45" s="29" t="s">
        <v>131</v>
      </c>
      <c r="D45" s="40"/>
      <c r="E45" s="26">
        <v>295</v>
      </c>
      <c r="F45" s="47"/>
      <c r="G45" s="26">
        <v>1945</v>
      </c>
      <c r="H45" s="27"/>
      <c r="I45" s="26">
        <f t="shared" si="1"/>
        <v>14555</v>
      </c>
      <c r="J45" s="40"/>
      <c r="K45" s="26">
        <v>16500</v>
      </c>
      <c r="L45" s="25"/>
      <c r="M45" s="871">
        <v>10000</v>
      </c>
      <c r="N45" s="742"/>
      <c r="O45" s="31">
        <f t="shared" si="2"/>
        <v>-6500</v>
      </c>
    </row>
    <row r="46" spans="1:18" ht="11.25" customHeight="1">
      <c r="A46" s="28" t="s">
        <v>257</v>
      </c>
      <c r="B46" s="23"/>
      <c r="C46" s="48" t="s">
        <v>133</v>
      </c>
      <c r="D46" s="25"/>
      <c r="E46" s="26">
        <v>103480.41</v>
      </c>
      <c r="F46" s="25"/>
      <c r="G46" s="26">
        <v>34126.61</v>
      </c>
      <c r="H46" s="25"/>
      <c r="I46" s="26">
        <f t="shared" si="1"/>
        <v>144873.39000000001</v>
      </c>
      <c r="J46" s="25"/>
      <c r="K46" s="26">
        <v>179000</v>
      </c>
      <c r="L46" s="25"/>
      <c r="M46" s="871">
        <v>177000</v>
      </c>
      <c r="N46" s="742"/>
      <c r="O46" s="31">
        <f t="shared" si="2"/>
        <v>-2000</v>
      </c>
    </row>
    <row r="47" spans="1:18" ht="11.25" customHeight="1">
      <c r="A47" s="28" t="s">
        <v>135</v>
      </c>
      <c r="B47" s="23"/>
      <c r="C47" s="29" t="s">
        <v>134</v>
      </c>
      <c r="D47" s="40"/>
      <c r="E47" s="26">
        <v>220193.17</v>
      </c>
      <c r="F47" s="25"/>
      <c r="G47" s="26">
        <v>78794.600000000006</v>
      </c>
      <c r="H47" s="25"/>
      <c r="I47" s="26">
        <f t="shared" si="1"/>
        <v>241205.4</v>
      </c>
      <c r="J47" s="40"/>
      <c r="K47" s="26">
        <v>320000</v>
      </c>
      <c r="L47" s="25"/>
      <c r="M47" s="871">
        <v>308000</v>
      </c>
      <c r="N47" s="742"/>
      <c r="O47" s="31">
        <f t="shared" si="2"/>
        <v>-12000</v>
      </c>
    </row>
    <row r="48" spans="1:18" ht="11.25" customHeight="1">
      <c r="A48" s="28" t="s">
        <v>43</v>
      </c>
      <c r="B48" s="23"/>
      <c r="C48" s="29" t="s">
        <v>136</v>
      </c>
      <c r="D48" s="25"/>
      <c r="E48" s="26">
        <v>222000</v>
      </c>
      <c r="F48" s="25"/>
      <c r="G48" s="26">
        <v>101500</v>
      </c>
      <c r="H48" s="25"/>
      <c r="I48" s="26">
        <f t="shared" si="1"/>
        <v>148500</v>
      </c>
      <c r="J48" s="25"/>
      <c r="K48" s="26">
        <v>250000</v>
      </c>
      <c r="L48" s="25"/>
      <c r="M48" s="871">
        <v>200000</v>
      </c>
      <c r="N48" s="742"/>
      <c r="O48" s="31">
        <f t="shared" si="2"/>
        <v>-50000</v>
      </c>
    </row>
    <row r="49" spans="1:18" ht="11.25" customHeight="1">
      <c r="A49" s="28" t="s">
        <v>138</v>
      </c>
      <c r="B49" s="23"/>
      <c r="C49" s="29" t="s">
        <v>137</v>
      </c>
      <c r="D49" s="40"/>
      <c r="E49" s="26">
        <v>85668</v>
      </c>
      <c r="F49" s="47"/>
      <c r="G49" s="26">
        <v>0</v>
      </c>
      <c r="H49" s="27"/>
      <c r="I49" s="26">
        <f t="shared" si="1"/>
        <v>161993</v>
      </c>
      <c r="J49" s="40"/>
      <c r="K49" s="26">
        <f>125000+36993</f>
        <v>161993</v>
      </c>
      <c r="L49" s="25"/>
      <c r="M49" s="871">
        <v>110000</v>
      </c>
      <c r="N49" s="742"/>
      <c r="O49" s="31">
        <f t="shared" si="2"/>
        <v>-51993</v>
      </c>
      <c r="P49" s="917">
        <v>36993</v>
      </c>
    </row>
    <row r="50" spans="1:18" ht="11.25" customHeight="1">
      <c r="A50" s="28" t="s">
        <v>37</v>
      </c>
      <c r="B50" s="23"/>
      <c r="C50" s="29" t="s">
        <v>139</v>
      </c>
      <c r="D50" s="40"/>
      <c r="E50" s="26">
        <v>11805.16</v>
      </c>
      <c r="F50" s="47"/>
      <c r="G50" s="26">
        <v>1639</v>
      </c>
      <c r="H50" s="27"/>
      <c r="I50" s="26">
        <f t="shared" si="1"/>
        <v>44361</v>
      </c>
      <c r="J50" s="40"/>
      <c r="K50" s="26">
        <v>46000</v>
      </c>
      <c r="L50" s="25"/>
      <c r="M50" s="871">
        <v>50000</v>
      </c>
      <c r="N50" s="742"/>
      <c r="O50" s="31">
        <f t="shared" si="2"/>
        <v>4000</v>
      </c>
    </row>
    <row r="51" spans="1:18" ht="11.25" customHeight="1">
      <c r="A51" s="28" t="s">
        <v>32</v>
      </c>
      <c r="B51" s="23"/>
      <c r="C51" s="29" t="s">
        <v>140</v>
      </c>
      <c r="D51" s="40"/>
      <c r="E51" s="26">
        <v>2200</v>
      </c>
      <c r="F51" s="47"/>
      <c r="G51" s="26">
        <v>2000</v>
      </c>
      <c r="H51" s="27"/>
      <c r="I51" s="26">
        <f t="shared" si="1"/>
        <v>38000</v>
      </c>
      <c r="J51" s="40"/>
      <c r="K51" s="26">
        <v>40000</v>
      </c>
      <c r="L51" s="25"/>
      <c r="M51" s="871">
        <v>10000</v>
      </c>
      <c r="N51" s="742"/>
      <c r="O51" s="31">
        <f t="shared" si="2"/>
        <v>-30000</v>
      </c>
    </row>
    <row r="52" spans="1:18" ht="11.25" customHeight="1">
      <c r="A52" s="28" t="s">
        <v>142</v>
      </c>
      <c r="B52" s="23"/>
      <c r="C52" s="29" t="s">
        <v>141</v>
      </c>
      <c r="D52" s="40"/>
      <c r="E52" s="26">
        <v>53250</v>
      </c>
      <c r="F52" s="47"/>
      <c r="G52" s="26">
        <v>4450</v>
      </c>
      <c r="H52" s="27"/>
      <c r="I52" s="26">
        <f t="shared" si="1"/>
        <v>104550</v>
      </c>
      <c r="J52" s="40"/>
      <c r="K52" s="26">
        <v>109000</v>
      </c>
      <c r="L52" s="831"/>
      <c r="M52" s="871">
        <v>60000</v>
      </c>
      <c r="N52" s="744"/>
      <c r="O52" s="31">
        <f t="shared" si="2"/>
        <v>-49000</v>
      </c>
    </row>
    <row r="53" spans="1:18" ht="11.25" customHeight="1">
      <c r="A53" s="28" t="s">
        <v>30</v>
      </c>
      <c r="B53" s="23"/>
      <c r="C53" s="29" t="s">
        <v>143</v>
      </c>
      <c r="D53" s="40"/>
      <c r="E53" s="26">
        <v>2500</v>
      </c>
      <c r="F53" s="47"/>
      <c r="G53" s="26">
        <v>0</v>
      </c>
      <c r="H53" s="27"/>
      <c r="I53" s="26">
        <f t="shared" si="1"/>
        <v>85000</v>
      </c>
      <c r="J53" s="40"/>
      <c r="K53" s="26">
        <v>85000</v>
      </c>
      <c r="L53" s="25"/>
      <c r="M53" s="871">
        <v>45000</v>
      </c>
      <c r="N53" s="742"/>
      <c r="O53" s="31">
        <f t="shared" si="2"/>
        <v>-40000</v>
      </c>
    </row>
    <row r="54" spans="1:18" ht="11.25" customHeight="1">
      <c r="A54" s="28" t="s">
        <v>493</v>
      </c>
      <c r="B54" s="23"/>
      <c r="C54" s="29" t="s">
        <v>176</v>
      </c>
      <c r="D54" s="40"/>
      <c r="E54" s="26">
        <v>475256.15</v>
      </c>
      <c r="F54" s="47"/>
      <c r="G54" s="26">
        <v>0</v>
      </c>
      <c r="H54" s="27"/>
      <c r="I54" s="26">
        <f t="shared" si="1"/>
        <v>170000</v>
      </c>
      <c r="J54" s="40"/>
      <c r="K54" s="26">
        <v>170000</v>
      </c>
      <c r="L54" s="25"/>
      <c r="M54" s="871">
        <v>92700</v>
      </c>
      <c r="N54" s="742"/>
      <c r="O54" s="31">
        <f t="shared" si="2"/>
        <v>-77300</v>
      </c>
    </row>
    <row r="55" spans="1:18" ht="11.25" customHeight="1">
      <c r="A55" s="28" t="s">
        <v>145</v>
      </c>
      <c r="B55" s="23"/>
      <c r="C55" s="29" t="s">
        <v>144</v>
      </c>
      <c r="D55" s="40"/>
      <c r="E55" s="26">
        <v>233430.18</v>
      </c>
      <c r="F55" s="47"/>
      <c r="G55" s="26">
        <v>119794.01</v>
      </c>
      <c r="H55" s="27"/>
      <c r="I55" s="26">
        <f t="shared" si="1"/>
        <v>836405.99</v>
      </c>
      <c r="J55" s="40"/>
      <c r="K55" s="26">
        <v>956200</v>
      </c>
      <c r="L55" s="25"/>
      <c r="M55" s="871">
        <v>432100</v>
      </c>
      <c r="N55" s="742"/>
      <c r="O55" s="31">
        <f t="shared" si="2"/>
        <v>-524100</v>
      </c>
    </row>
    <row r="56" spans="1:18" ht="11.25" customHeight="1">
      <c r="A56" s="28" t="s">
        <v>31</v>
      </c>
      <c r="B56" s="23"/>
      <c r="C56" s="29" t="s">
        <v>146</v>
      </c>
      <c r="D56" s="40"/>
      <c r="E56" s="26">
        <v>6710192.1299999999</v>
      </c>
      <c r="F56" s="47"/>
      <c r="G56" s="26">
        <v>1579614.66</v>
      </c>
      <c r="H56" s="27"/>
      <c r="I56" s="26">
        <f t="shared" si="1"/>
        <v>2120385.34</v>
      </c>
      <c r="J56" s="40"/>
      <c r="K56" s="26">
        <v>3700000</v>
      </c>
      <c r="L56" s="25"/>
      <c r="M56" s="871">
        <v>3700000</v>
      </c>
      <c r="N56" s="742"/>
      <c r="O56" s="31">
        <f t="shared" si="2"/>
        <v>0</v>
      </c>
    </row>
    <row r="57" spans="1:18" ht="11.25" customHeight="1">
      <c r="A57" s="28" t="s">
        <v>45</v>
      </c>
      <c r="B57" s="23"/>
      <c r="C57" s="29" t="s">
        <v>147</v>
      </c>
      <c r="D57" s="25"/>
      <c r="E57" s="26">
        <v>0</v>
      </c>
      <c r="F57" s="40"/>
      <c r="G57" s="26">
        <v>0</v>
      </c>
      <c r="H57" s="25"/>
      <c r="I57" s="26">
        <f t="shared" si="1"/>
        <v>2382540</v>
      </c>
      <c r="J57" s="40"/>
      <c r="K57" s="26">
        <v>2382540</v>
      </c>
      <c r="L57" s="25"/>
      <c r="M57" s="872">
        <v>2382540</v>
      </c>
      <c r="N57" s="742"/>
      <c r="O57" s="31">
        <f t="shared" si="2"/>
        <v>0</v>
      </c>
    </row>
    <row r="58" spans="1:18" s="55" customFormat="1" ht="11.25" customHeight="1">
      <c r="A58" s="49" t="s">
        <v>321</v>
      </c>
      <c r="B58" s="50"/>
      <c r="C58" s="29" t="s">
        <v>162</v>
      </c>
      <c r="D58" s="51"/>
      <c r="E58" s="26">
        <v>123233</v>
      </c>
      <c r="F58" s="53"/>
      <c r="G58" s="26">
        <v>79000</v>
      </c>
      <c r="H58" s="54"/>
      <c r="I58" s="26">
        <f t="shared" si="1"/>
        <v>96100</v>
      </c>
      <c r="J58" s="51"/>
      <c r="K58" s="26">
        <v>175100</v>
      </c>
      <c r="L58" s="831"/>
      <c r="M58" s="871">
        <v>195000</v>
      </c>
      <c r="N58" s="744"/>
      <c r="O58" s="31">
        <f t="shared" si="2"/>
        <v>19900</v>
      </c>
      <c r="P58" s="918"/>
      <c r="Q58" s="918"/>
      <c r="R58" s="923"/>
    </row>
    <row r="59" spans="1:18" ht="11.25" customHeight="1">
      <c r="A59" s="28" t="s">
        <v>484</v>
      </c>
      <c r="B59" s="23"/>
      <c r="C59" s="29" t="s">
        <v>164</v>
      </c>
      <c r="D59" s="40"/>
      <c r="E59" s="26">
        <v>378000</v>
      </c>
      <c r="F59" s="47"/>
      <c r="G59" s="26">
        <v>183528</v>
      </c>
      <c r="H59" s="27"/>
      <c r="I59" s="26">
        <f t="shared" si="1"/>
        <v>736472</v>
      </c>
      <c r="J59" s="40"/>
      <c r="K59" s="26">
        <v>920000</v>
      </c>
      <c r="L59" s="25"/>
      <c r="M59" s="871">
        <f>180000+920000</f>
        <v>1100000</v>
      </c>
      <c r="N59" s="742"/>
      <c r="O59" s="31">
        <f t="shared" si="2"/>
        <v>180000</v>
      </c>
    </row>
    <row r="60" spans="1:18" ht="11.25" customHeight="1">
      <c r="A60" s="28" t="s">
        <v>353</v>
      </c>
      <c r="B60" s="382"/>
      <c r="C60" s="29" t="s">
        <v>354</v>
      </c>
      <c r="D60" s="25"/>
      <c r="E60" s="26">
        <v>180000</v>
      </c>
      <c r="F60" s="25"/>
      <c r="G60" s="26">
        <v>60000</v>
      </c>
      <c r="H60" s="25"/>
      <c r="I60" s="26">
        <f t="shared" si="1"/>
        <v>120000</v>
      </c>
      <c r="J60" s="25"/>
      <c r="K60" s="26">
        <v>180000</v>
      </c>
      <c r="L60" s="25"/>
      <c r="M60" s="871">
        <v>300000</v>
      </c>
      <c r="N60" s="742"/>
      <c r="O60" s="31">
        <f t="shared" si="2"/>
        <v>120000</v>
      </c>
    </row>
    <row r="61" spans="1:18" ht="11.25" customHeight="1">
      <c r="A61" s="28" t="s">
        <v>33</v>
      </c>
      <c r="B61" s="382"/>
      <c r="C61" s="29" t="s">
        <v>148</v>
      </c>
      <c r="D61" s="25"/>
      <c r="E61" s="26"/>
      <c r="F61" s="47"/>
      <c r="G61" s="47"/>
      <c r="H61" s="27"/>
      <c r="I61" s="26"/>
      <c r="J61" s="40"/>
      <c r="K61" s="26"/>
      <c r="L61" s="25"/>
      <c r="M61" s="871">
        <f t="shared" ref="M61:M66" si="5">K61-I61</f>
        <v>0</v>
      </c>
      <c r="N61" s="742"/>
      <c r="O61" s="31">
        <f t="shared" si="2"/>
        <v>0</v>
      </c>
    </row>
    <row r="62" spans="1:18" ht="11.25" customHeight="1">
      <c r="A62" s="28"/>
      <c r="B62" s="57" t="s">
        <v>342</v>
      </c>
      <c r="C62" s="29"/>
      <c r="D62" s="25"/>
      <c r="E62" s="26">
        <v>22514229.260000002</v>
      </c>
      <c r="F62" s="47"/>
      <c r="G62" s="26">
        <v>5142387.71</v>
      </c>
      <c r="H62" s="27"/>
      <c r="I62" s="26">
        <f t="shared" si="1"/>
        <v>6851612.29</v>
      </c>
      <c r="J62" s="40"/>
      <c r="K62" s="26">
        <f>500000+11494000</f>
        <v>11994000</v>
      </c>
      <c r="L62" s="25"/>
      <c r="M62" s="871">
        <v>12775000</v>
      </c>
      <c r="N62" s="742"/>
      <c r="O62" s="31">
        <f t="shared" si="2"/>
        <v>781000</v>
      </c>
    </row>
    <row r="63" spans="1:18" ht="11.25" customHeight="1">
      <c r="A63" s="28"/>
      <c r="B63" s="57" t="s">
        <v>752</v>
      </c>
      <c r="C63" s="29"/>
      <c r="D63" s="25"/>
      <c r="E63" s="26">
        <v>1322912.1499999999</v>
      </c>
      <c r="F63" s="47"/>
      <c r="G63" s="26">
        <v>548105.73</v>
      </c>
      <c r="H63" s="27"/>
      <c r="I63" s="26">
        <f t="shared" si="1"/>
        <v>1014894.27</v>
      </c>
      <c r="J63" s="40"/>
      <c r="K63" s="26">
        <f>1473000+90000</f>
        <v>1563000</v>
      </c>
      <c r="L63" s="25"/>
      <c r="M63" s="871">
        <v>1385000</v>
      </c>
      <c r="N63" s="742"/>
      <c r="O63" s="31">
        <f t="shared" si="2"/>
        <v>-178000</v>
      </c>
      <c r="P63" s="917">
        <v>200000</v>
      </c>
      <c r="Q63" s="917">
        <v>90000</v>
      </c>
    </row>
    <row r="64" spans="1:18" ht="11.25" customHeight="1">
      <c r="A64" s="28"/>
      <c r="B64" s="57" t="s">
        <v>761</v>
      </c>
      <c r="C64" s="29"/>
      <c r="D64" s="25"/>
      <c r="E64" s="26">
        <v>216961.79</v>
      </c>
      <c r="F64" s="47"/>
      <c r="G64" s="26">
        <v>13447.21</v>
      </c>
      <c r="H64" s="27"/>
      <c r="I64" s="26">
        <f t="shared" si="1"/>
        <v>315552.78999999998</v>
      </c>
      <c r="J64" s="40"/>
      <c r="K64" s="26">
        <f>309000+20000</f>
        <v>329000</v>
      </c>
      <c r="L64" s="25"/>
      <c r="M64" s="871">
        <v>175000</v>
      </c>
      <c r="N64" s="742"/>
      <c r="O64" s="31">
        <f t="shared" si="2"/>
        <v>-154000</v>
      </c>
      <c r="P64" s="917">
        <v>20000</v>
      </c>
    </row>
    <row r="65" spans="1:16" ht="11.25" customHeight="1">
      <c r="A65" s="28"/>
      <c r="B65" s="57" t="s">
        <v>356</v>
      </c>
      <c r="C65" s="29"/>
      <c r="D65" s="25"/>
      <c r="E65" s="26">
        <v>46080</v>
      </c>
      <c r="F65" s="47"/>
      <c r="G65" s="26">
        <v>3000</v>
      </c>
      <c r="H65" s="27"/>
      <c r="I65" s="26">
        <f t="shared" si="1"/>
        <v>147000</v>
      </c>
      <c r="J65" s="40"/>
      <c r="K65" s="26">
        <f>100000+50000</f>
        <v>150000</v>
      </c>
      <c r="L65" s="25"/>
      <c r="M65" s="871">
        <v>80000</v>
      </c>
      <c r="N65" s="742"/>
      <c r="O65" s="31">
        <f t="shared" si="2"/>
        <v>-70000</v>
      </c>
      <c r="P65" s="917">
        <v>50000</v>
      </c>
    </row>
    <row r="66" spans="1:16" ht="11.25" customHeight="1">
      <c r="A66" s="28"/>
      <c r="B66" s="57" t="s">
        <v>1310</v>
      </c>
      <c r="C66" s="29"/>
      <c r="D66" s="25"/>
      <c r="E66" s="26">
        <v>143200</v>
      </c>
      <c r="F66" s="47"/>
      <c r="G66" s="26">
        <v>0</v>
      </c>
      <c r="H66" s="27"/>
      <c r="I66" s="26">
        <f t="shared" si="1"/>
        <v>0</v>
      </c>
      <c r="J66" s="40"/>
      <c r="K66" s="26">
        <v>0</v>
      </c>
      <c r="L66" s="25"/>
      <c r="M66" s="871">
        <f t="shared" si="5"/>
        <v>0</v>
      </c>
      <c r="N66" s="742"/>
      <c r="O66" s="31">
        <f t="shared" si="2"/>
        <v>0</v>
      </c>
    </row>
    <row r="67" spans="1:16" ht="11.25" customHeight="1">
      <c r="A67" s="28"/>
      <c r="B67" s="57" t="s">
        <v>769</v>
      </c>
      <c r="C67" s="29"/>
      <c r="D67" s="25"/>
      <c r="E67" s="26">
        <v>25900.5</v>
      </c>
      <c r="F67" s="47"/>
      <c r="G67" s="26">
        <v>0</v>
      </c>
      <c r="H67" s="27"/>
      <c r="I67" s="26">
        <f t="shared" si="1"/>
        <v>30000</v>
      </c>
      <c r="J67" s="40"/>
      <c r="K67" s="26">
        <v>30000</v>
      </c>
      <c r="L67" s="25"/>
      <c r="M67" s="871">
        <v>20000</v>
      </c>
      <c r="N67" s="742"/>
      <c r="O67" s="31">
        <f t="shared" ref="O67" si="6">M67-K67</f>
        <v>-10000</v>
      </c>
    </row>
    <row r="68" spans="1:16" ht="11.25" customHeight="1">
      <c r="A68" s="28"/>
      <c r="B68" s="57" t="s">
        <v>1161</v>
      </c>
      <c r="C68" s="29"/>
      <c r="D68" s="25"/>
      <c r="E68" s="26">
        <v>0</v>
      </c>
      <c r="F68" s="47"/>
      <c r="G68" s="26">
        <v>10000</v>
      </c>
      <c r="H68" s="27"/>
      <c r="I68" s="26">
        <f t="shared" si="1"/>
        <v>20000</v>
      </c>
      <c r="J68" s="40"/>
      <c r="K68" s="26">
        <v>30000</v>
      </c>
      <c r="L68" s="25"/>
      <c r="M68" s="871">
        <v>20000</v>
      </c>
      <c r="N68" s="742"/>
      <c r="O68" s="31">
        <f t="shared" si="2"/>
        <v>-10000</v>
      </c>
      <c r="P68" s="917">
        <v>30000</v>
      </c>
    </row>
    <row r="69" spans="1:16" ht="11.25" customHeight="1">
      <c r="A69" s="28"/>
      <c r="B69" s="57" t="s">
        <v>510</v>
      </c>
      <c r="C69" s="29"/>
      <c r="D69" s="25"/>
      <c r="E69" s="26">
        <v>2244745</v>
      </c>
      <c r="F69" s="47"/>
      <c r="G69" s="26">
        <v>132250</v>
      </c>
      <c r="H69" s="27"/>
      <c r="I69" s="26">
        <f t="shared" si="1"/>
        <v>921750</v>
      </c>
      <c r="J69" s="40"/>
      <c r="K69" s="26">
        <f>1044000+10000</f>
        <v>1054000</v>
      </c>
      <c r="L69" s="25"/>
      <c r="M69" s="871">
        <v>988244</v>
      </c>
      <c r="N69" s="742"/>
      <c r="O69" s="31">
        <f t="shared" si="2"/>
        <v>-65756</v>
      </c>
      <c r="P69" s="917">
        <v>10000</v>
      </c>
    </row>
    <row r="70" spans="1:16" ht="11.25" customHeight="1">
      <c r="A70" s="28"/>
      <c r="B70" s="57" t="s">
        <v>345</v>
      </c>
      <c r="C70" s="29"/>
      <c r="D70" s="25"/>
      <c r="E70" s="26">
        <v>10000</v>
      </c>
      <c r="F70" s="47"/>
      <c r="G70" s="26">
        <v>0</v>
      </c>
      <c r="H70" s="27"/>
      <c r="I70" s="26">
        <f t="shared" si="1"/>
        <v>50000</v>
      </c>
      <c r="J70" s="40"/>
      <c r="K70" s="26">
        <v>50000</v>
      </c>
      <c r="L70" s="25"/>
      <c r="M70" s="871">
        <v>42700</v>
      </c>
      <c r="N70" s="742"/>
      <c r="O70" s="31">
        <f t="shared" si="2"/>
        <v>-7300</v>
      </c>
    </row>
    <row r="71" spans="1:16" ht="11.25" customHeight="1">
      <c r="A71" s="28"/>
      <c r="B71" s="57" t="s">
        <v>389</v>
      </c>
      <c r="C71" s="29"/>
      <c r="D71" s="25"/>
      <c r="E71" s="26">
        <v>99072.7</v>
      </c>
      <c r="F71" s="47"/>
      <c r="G71" s="26">
        <v>0</v>
      </c>
      <c r="H71" s="27"/>
      <c r="I71" s="26">
        <f t="shared" si="1"/>
        <v>100000</v>
      </c>
      <c r="J71" s="40"/>
      <c r="K71" s="26">
        <v>100000</v>
      </c>
      <c r="L71" s="25"/>
      <c r="M71" s="871">
        <v>60000</v>
      </c>
      <c r="N71" s="742"/>
      <c r="O71" s="31">
        <f t="shared" si="2"/>
        <v>-40000</v>
      </c>
    </row>
    <row r="72" spans="1:16" ht="11.25" customHeight="1">
      <c r="A72" s="28"/>
      <c r="B72" s="57" t="s">
        <v>1089</v>
      </c>
      <c r="C72" s="29"/>
      <c r="D72" s="25"/>
      <c r="E72" s="26">
        <v>0</v>
      </c>
      <c r="F72" s="47"/>
      <c r="G72" s="26">
        <v>16610.02</v>
      </c>
      <c r="H72" s="27"/>
      <c r="I72" s="26">
        <f t="shared" si="1"/>
        <v>183389.98</v>
      </c>
      <c r="J72" s="40"/>
      <c r="K72" s="26">
        <v>200000</v>
      </c>
      <c r="L72" s="25"/>
      <c r="M72" s="871">
        <v>150000</v>
      </c>
      <c r="N72" s="742"/>
      <c r="O72" s="31">
        <f t="shared" si="2"/>
        <v>-50000</v>
      </c>
    </row>
    <row r="73" spans="1:16" ht="11.25" customHeight="1">
      <c r="A73" s="28"/>
      <c r="B73" s="5" t="s">
        <v>734</v>
      </c>
      <c r="C73" s="29"/>
      <c r="D73" s="25"/>
      <c r="E73" s="26">
        <v>91852.7</v>
      </c>
      <c r="F73" s="47"/>
      <c r="G73" s="47">
        <v>0</v>
      </c>
      <c r="H73" s="27"/>
      <c r="I73" s="26">
        <f t="shared" si="1"/>
        <v>150000</v>
      </c>
      <c r="J73" s="40"/>
      <c r="K73" s="26">
        <v>150000</v>
      </c>
      <c r="L73" s="25"/>
      <c r="M73" s="871">
        <v>128200</v>
      </c>
      <c r="N73" s="742"/>
      <c r="O73" s="31">
        <f t="shared" ref="O73" si="7">M73-K73</f>
        <v>-21800</v>
      </c>
    </row>
    <row r="74" spans="1:16" ht="11.25" customHeight="1">
      <c r="A74" s="28"/>
      <c r="B74" s="57" t="s">
        <v>347</v>
      </c>
      <c r="C74" s="29"/>
      <c r="D74" s="25"/>
      <c r="E74" s="26">
        <v>268512</v>
      </c>
      <c r="F74" s="47"/>
      <c r="G74" s="47">
        <v>0</v>
      </c>
      <c r="H74" s="27"/>
      <c r="I74" s="26">
        <f t="shared" si="1"/>
        <v>500000</v>
      </c>
      <c r="J74" s="40"/>
      <c r="K74" s="26">
        <v>500000</v>
      </c>
      <c r="L74" s="25"/>
      <c r="M74" s="871">
        <v>400000</v>
      </c>
      <c r="N74" s="742"/>
      <c r="O74" s="31">
        <f t="shared" ref="O74" si="8">M74-K74</f>
        <v>-100000</v>
      </c>
    </row>
    <row r="75" spans="1:16" ht="11.25" customHeight="1">
      <c r="A75" s="28"/>
      <c r="B75" s="57" t="s">
        <v>349</v>
      </c>
      <c r="C75" s="29"/>
      <c r="D75" s="25"/>
      <c r="E75" s="26"/>
      <c r="F75" s="47"/>
      <c r="G75" s="47"/>
      <c r="H75" s="27"/>
      <c r="I75" s="26"/>
      <c r="J75" s="40"/>
      <c r="K75" s="26"/>
      <c r="L75" s="25"/>
      <c r="M75" s="871"/>
      <c r="N75" s="742"/>
      <c r="O75" s="743"/>
    </row>
    <row r="76" spans="1:16" ht="11.25" customHeight="1">
      <c r="A76" s="58"/>
      <c r="B76" s="882" t="s">
        <v>362</v>
      </c>
      <c r="C76" s="34"/>
      <c r="D76" s="30"/>
      <c r="E76" s="31">
        <v>0</v>
      </c>
      <c r="F76" s="59"/>
      <c r="G76" s="59">
        <v>0</v>
      </c>
      <c r="H76" s="60"/>
      <c r="I76" s="31">
        <f t="shared" si="1"/>
        <v>35000</v>
      </c>
      <c r="J76" s="61"/>
      <c r="K76" s="31">
        <v>35000</v>
      </c>
      <c r="L76" s="30"/>
      <c r="M76" s="866">
        <v>29000</v>
      </c>
      <c r="N76" s="742"/>
      <c r="O76" s="31">
        <f t="shared" ref="O76" si="9">M76-K76</f>
        <v>-6000</v>
      </c>
    </row>
    <row r="77" spans="1:16" ht="11.25" customHeight="1">
      <c r="A77" s="28"/>
      <c r="B77" s="57" t="s">
        <v>350</v>
      </c>
      <c r="C77" s="29"/>
      <c r="D77" s="25"/>
      <c r="E77" s="26"/>
      <c r="F77" s="47"/>
      <c r="G77" s="47"/>
      <c r="H77" s="27"/>
      <c r="I77" s="26"/>
      <c r="J77" s="40"/>
      <c r="K77" s="26"/>
      <c r="L77" s="25"/>
      <c r="M77" s="871"/>
      <c r="N77" s="742"/>
      <c r="O77" s="743"/>
    </row>
    <row r="78" spans="1:16" ht="11.25" customHeight="1">
      <c r="A78" s="28"/>
      <c r="B78" s="63" t="s">
        <v>363</v>
      </c>
      <c r="C78" s="29"/>
      <c r="D78" s="25"/>
      <c r="E78" s="26">
        <v>10000</v>
      </c>
      <c r="F78" s="47"/>
      <c r="G78" s="47">
        <v>0</v>
      </c>
      <c r="H78" s="27"/>
      <c r="I78" s="26">
        <f t="shared" si="1"/>
        <v>50000</v>
      </c>
      <c r="J78" s="40"/>
      <c r="K78" s="26">
        <v>50000</v>
      </c>
      <c r="L78" s="25"/>
      <c r="M78" s="871">
        <v>42000</v>
      </c>
      <c r="N78" s="742"/>
      <c r="O78" s="31">
        <f t="shared" ref="O78:O80" si="10">M78-K78</f>
        <v>-8000</v>
      </c>
    </row>
    <row r="79" spans="1:16" ht="11.25" customHeight="1">
      <c r="A79" s="28"/>
      <c r="B79" s="63" t="s">
        <v>364</v>
      </c>
      <c r="C79" s="29"/>
      <c r="D79" s="25"/>
      <c r="E79" s="26">
        <v>200000</v>
      </c>
      <c r="F79" s="47"/>
      <c r="G79" s="26">
        <v>117000</v>
      </c>
      <c r="H79" s="27"/>
      <c r="I79" s="26">
        <f t="shared" si="1"/>
        <v>383000</v>
      </c>
      <c r="J79" s="40"/>
      <c r="K79" s="26">
        <v>500000</v>
      </c>
      <c r="L79" s="25"/>
      <c r="M79" s="871">
        <v>300000</v>
      </c>
      <c r="N79" s="742"/>
      <c r="O79" s="31">
        <f t="shared" si="10"/>
        <v>-200000</v>
      </c>
    </row>
    <row r="80" spans="1:16" ht="11.25" customHeight="1">
      <c r="A80" s="28"/>
      <c r="B80" s="63" t="s">
        <v>365</v>
      </c>
      <c r="C80" s="29"/>
      <c r="D80" s="25"/>
      <c r="E80" s="26">
        <v>20000</v>
      </c>
      <c r="F80" s="47"/>
      <c r="G80" s="26">
        <v>0</v>
      </c>
      <c r="H80" s="27"/>
      <c r="I80" s="26">
        <f t="shared" si="1"/>
        <v>100000</v>
      </c>
      <c r="J80" s="40"/>
      <c r="K80" s="26">
        <v>100000</v>
      </c>
      <c r="L80" s="25"/>
      <c r="M80" s="871">
        <v>200000</v>
      </c>
      <c r="N80" s="742"/>
      <c r="O80" s="31">
        <f t="shared" si="10"/>
        <v>100000</v>
      </c>
    </row>
    <row r="81" spans="1:18" ht="11.25" customHeight="1">
      <c r="A81" s="28"/>
      <c r="B81" s="62" t="s">
        <v>511</v>
      </c>
      <c r="C81" s="29"/>
      <c r="D81" s="25"/>
      <c r="E81" s="26"/>
      <c r="F81" s="47"/>
      <c r="G81" s="47"/>
      <c r="H81" s="27"/>
      <c r="I81" s="26">
        <f t="shared" si="1"/>
        <v>0</v>
      </c>
      <c r="J81" s="40"/>
      <c r="K81" s="26"/>
      <c r="L81" s="25"/>
      <c r="M81" s="871"/>
      <c r="N81" s="742"/>
      <c r="O81" s="743"/>
    </row>
    <row r="82" spans="1:18" ht="11.25" customHeight="1">
      <c r="A82" s="28"/>
      <c r="B82" s="62" t="s">
        <v>480</v>
      </c>
      <c r="C82" s="29"/>
      <c r="D82" s="25"/>
      <c r="E82" s="26">
        <v>200000</v>
      </c>
      <c r="F82" s="47"/>
      <c r="G82" s="47">
        <v>0</v>
      </c>
      <c r="H82" s="27"/>
      <c r="I82" s="26">
        <f t="shared" si="1"/>
        <v>500000</v>
      </c>
      <c r="J82" s="40"/>
      <c r="K82" s="26">
        <v>500000</v>
      </c>
      <c r="L82" s="25"/>
      <c r="M82" s="871">
        <v>400000</v>
      </c>
      <c r="N82" s="742"/>
      <c r="O82" s="31">
        <f t="shared" ref="O82:O85" si="11">M82-K82</f>
        <v>-100000</v>
      </c>
    </row>
    <row r="83" spans="1:18" ht="11.25" customHeight="1">
      <c r="A83" s="28"/>
      <c r="B83" s="62" t="s">
        <v>481</v>
      </c>
      <c r="C83" s="29"/>
      <c r="D83" s="25"/>
      <c r="E83" s="26">
        <v>240000</v>
      </c>
      <c r="F83" s="47"/>
      <c r="G83" s="47">
        <v>0</v>
      </c>
      <c r="H83" s="27"/>
      <c r="I83" s="26">
        <f t="shared" si="1"/>
        <v>300000</v>
      </c>
      <c r="J83" s="40"/>
      <c r="K83" s="26">
        <v>300000</v>
      </c>
      <c r="L83" s="25"/>
      <c r="M83" s="871">
        <v>300000</v>
      </c>
      <c r="N83" s="742"/>
      <c r="O83" s="31">
        <f t="shared" si="11"/>
        <v>0</v>
      </c>
    </row>
    <row r="84" spans="1:18" ht="11.25" customHeight="1">
      <c r="A84" s="28"/>
      <c r="B84" s="62" t="s">
        <v>482</v>
      </c>
      <c r="C84" s="29"/>
      <c r="D84" s="25"/>
      <c r="E84" s="26">
        <v>74861</v>
      </c>
      <c r="F84" s="47"/>
      <c r="G84" s="47">
        <v>0</v>
      </c>
      <c r="H84" s="27"/>
      <c r="I84" s="26">
        <f t="shared" si="1"/>
        <v>100000</v>
      </c>
      <c r="J84" s="40"/>
      <c r="K84" s="26">
        <v>100000</v>
      </c>
      <c r="L84" s="25"/>
      <c r="M84" s="871">
        <v>50000</v>
      </c>
      <c r="N84" s="742"/>
      <c r="O84" s="31">
        <f t="shared" si="11"/>
        <v>-50000</v>
      </c>
    </row>
    <row r="85" spans="1:18" ht="11.25" customHeight="1">
      <c r="A85" s="28"/>
      <c r="B85" s="62" t="s">
        <v>483</v>
      </c>
      <c r="C85" s="29"/>
      <c r="D85" s="25"/>
      <c r="E85" s="26">
        <v>46570</v>
      </c>
      <c r="F85" s="47"/>
      <c r="G85" s="47">
        <v>0</v>
      </c>
      <c r="H85" s="27"/>
      <c r="I85" s="26">
        <f t="shared" si="1"/>
        <v>100000</v>
      </c>
      <c r="J85" s="40"/>
      <c r="K85" s="26">
        <v>100000</v>
      </c>
      <c r="L85" s="25"/>
      <c r="M85" s="866">
        <v>50000</v>
      </c>
      <c r="N85" s="742"/>
      <c r="O85" s="31">
        <f t="shared" si="11"/>
        <v>-50000</v>
      </c>
    </row>
    <row r="86" spans="1:18" ht="11.25" customHeight="1">
      <c r="A86" s="1251" t="s">
        <v>13</v>
      </c>
      <c r="B86" s="1252"/>
      <c r="C86" s="29"/>
      <c r="D86" s="35" t="s">
        <v>15</v>
      </c>
      <c r="E86" s="36">
        <f>SUM(E39:E85)</f>
        <v>43799755.520000003</v>
      </c>
      <c r="F86" s="35" t="s">
        <v>15</v>
      </c>
      <c r="G86" s="36">
        <f>SUM(G39:G85)</f>
        <v>10574830.15</v>
      </c>
      <c r="H86" s="35" t="s">
        <v>15</v>
      </c>
      <c r="I86" s="36">
        <f>SUM(I39:I85)</f>
        <v>29340502.850000001</v>
      </c>
      <c r="J86" s="72" t="s">
        <v>15</v>
      </c>
      <c r="K86" s="36">
        <f>SUM(K39:K85)</f>
        <v>39915333</v>
      </c>
      <c r="L86" s="35" t="s">
        <v>15</v>
      </c>
      <c r="M86" s="36">
        <f>SUM(M39:M85)</f>
        <v>35878634</v>
      </c>
      <c r="N86" s="66" t="s">
        <v>15</v>
      </c>
      <c r="O86" s="65">
        <f>SUM(O39:O85)</f>
        <v>-4036699</v>
      </c>
      <c r="P86" s="919">
        <f>SUM(P39:P85)</f>
        <v>676993</v>
      </c>
      <c r="Q86" s="919">
        <f>SUM(Q39:Q85)</f>
        <v>245000</v>
      </c>
      <c r="R86" s="924"/>
    </row>
    <row r="87" spans="1:18" ht="11.25" customHeight="1">
      <c r="A87" s="81" t="s">
        <v>283</v>
      </c>
      <c r="B87" s="362"/>
      <c r="C87" s="29"/>
      <c r="D87" s="67"/>
      <c r="E87" s="43"/>
      <c r="F87" s="44"/>
      <c r="G87" s="44"/>
      <c r="H87" s="45"/>
      <c r="I87" s="43"/>
      <c r="J87" s="67"/>
      <c r="K87" s="43"/>
      <c r="L87" s="67"/>
      <c r="M87" s="43"/>
      <c r="N87" s="67"/>
      <c r="O87" s="43"/>
    </row>
    <row r="88" spans="1:18" ht="11.25" customHeight="1">
      <c r="A88" s="68" t="s">
        <v>51</v>
      </c>
      <c r="B88" s="360"/>
      <c r="C88" s="29" t="s">
        <v>149</v>
      </c>
      <c r="D88" s="25" t="s">
        <v>15</v>
      </c>
      <c r="E88" s="26"/>
      <c r="F88" s="25" t="s">
        <v>15</v>
      </c>
      <c r="G88" s="364"/>
      <c r="H88" s="25" t="s">
        <v>15</v>
      </c>
      <c r="I88" s="26"/>
      <c r="J88" s="25" t="s">
        <v>15</v>
      </c>
      <c r="K88" s="69"/>
      <c r="L88" s="25" t="s">
        <v>15</v>
      </c>
      <c r="M88" s="69"/>
      <c r="N88" s="30" t="s">
        <v>15</v>
      </c>
      <c r="O88" s="70"/>
      <c r="P88" s="917">
        <v>35187634</v>
      </c>
      <c r="R88" s="924"/>
    </row>
    <row r="89" spans="1:18" ht="11.25" customHeight="1">
      <c r="A89" s="68" t="s">
        <v>391</v>
      </c>
      <c r="B89" s="409"/>
      <c r="C89" s="29"/>
      <c r="D89" s="25"/>
      <c r="E89" s="26">
        <v>41074</v>
      </c>
      <c r="F89" s="40"/>
      <c r="G89" s="410">
        <v>0</v>
      </c>
      <c r="H89" s="25"/>
      <c r="I89" s="26">
        <f t="shared" ref="I89:I106" si="12">K89-G89</f>
        <v>0</v>
      </c>
      <c r="J89" s="25"/>
      <c r="K89" s="69">
        <v>0</v>
      </c>
      <c r="L89" s="25"/>
      <c r="M89" s="69">
        <v>0</v>
      </c>
      <c r="N89" s="742"/>
      <c r="O89" s="745">
        <v>0</v>
      </c>
    </row>
    <row r="90" spans="1:18" ht="11.25" customHeight="1">
      <c r="A90" s="68" t="s">
        <v>1311</v>
      </c>
      <c r="B90" s="409"/>
      <c r="C90" s="29"/>
      <c r="D90" s="25"/>
      <c r="E90" s="26">
        <v>49900</v>
      </c>
      <c r="F90" s="40"/>
      <c r="G90" s="410">
        <v>0</v>
      </c>
      <c r="H90" s="25"/>
      <c r="I90" s="26">
        <f t="shared" si="12"/>
        <v>0</v>
      </c>
      <c r="J90" s="25"/>
      <c r="K90" s="26">
        <v>0</v>
      </c>
      <c r="L90" s="25"/>
      <c r="M90" s="26">
        <v>0</v>
      </c>
      <c r="N90" s="742"/>
      <c r="O90" s="743">
        <v>0</v>
      </c>
      <c r="P90" s="917">
        <v>34862534</v>
      </c>
    </row>
    <row r="91" spans="1:18" ht="11.25" customHeight="1">
      <c r="A91" s="68" t="s">
        <v>1092</v>
      </c>
      <c r="B91" s="770"/>
      <c r="C91" s="29"/>
      <c r="D91" s="25"/>
      <c r="E91" s="26"/>
      <c r="F91" s="40"/>
      <c r="G91" s="771">
        <v>0</v>
      </c>
      <c r="H91" s="25"/>
      <c r="I91" s="26">
        <f t="shared" si="12"/>
        <v>15000</v>
      </c>
      <c r="J91" s="25"/>
      <c r="K91" s="26">
        <v>15000</v>
      </c>
      <c r="L91" s="25"/>
      <c r="M91" s="26">
        <v>0</v>
      </c>
      <c r="N91" s="742"/>
      <c r="O91" s="743">
        <v>0</v>
      </c>
      <c r="P91" s="917" t="s">
        <v>1303</v>
      </c>
    </row>
    <row r="92" spans="1:18" ht="11.25" customHeight="1">
      <c r="A92" s="68" t="s">
        <v>889</v>
      </c>
      <c r="B92" s="568"/>
      <c r="C92" s="29" t="s">
        <v>890</v>
      </c>
      <c r="D92" s="25"/>
      <c r="E92" s="26"/>
      <c r="F92" s="25"/>
      <c r="G92" s="569"/>
      <c r="H92" s="25"/>
      <c r="I92" s="26">
        <f t="shared" si="12"/>
        <v>0</v>
      </c>
      <c r="J92" s="25"/>
      <c r="K92" s="69"/>
      <c r="L92" s="25"/>
      <c r="M92" s="69"/>
      <c r="N92" s="742"/>
      <c r="O92" s="745"/>
    </row>
    <row r="93" spans="1:18" ht="11.25" customHeight="1">
      <c r="A93" s="68" t="s">
        <v>1314</v>
      </c>
      <c r="B93" s="568"/>
      <c r="C93" s="29"/>
      <c r="D93" s="25"/>
      <c r="E93" s="26">
        <v>30000</v>
      </c>
      <c r="F93" s="40"/>
      <c r="G93" s="569">
        <v>0</v>
      </c>
      <c r="H93" s="25"/>
      <c r="I93" s="26">
        <f t="shared" si="12"/>
        <v>0</v>
      </c>
      <c r="J93" s="25"/>
      <c r="K93" s="26">
        <v>0</v>
      </c>
      <c r="L93" s="25"/>
      <c r="M93" s="26">
        <v>0</v>
      </c>
      <c r="N93" s="742"/>
      <c r="O93" s="743">
        <v>0</v>
      </c>
      <c r="P93" s="917" t="s">
        <v>891</v>
      </c>
    </row>
    <row r="94" spans="1:18" ht="11.25" customHeight="1">
      <c r="A94" s="68" t="s">
        <v>152</v>
      </c>
      <c r="B94" s="360"/>
      <c r="C94" s="29" t="s">
        <v>150</v>
      </c>
      <c r="D94" s="25"/>
      <c r="E94" s="26"/>
      <c r="F94" s="47"/>
      <c r="G94" s="47"/>
      <c r="H94" s="27"/>
      <c r="I94" s="26">
        <f t="shared" si="12"/>
        <v>0</v>
      </c>
      <c r="J94" s="25"/>
      <c r="K94" s="26"/>
      <c r="L94" s="25"/>
      <c r="M94" s="26"/>
      <c r="N94" s="742"/>
      <c r="O94" s="743"/>
    </row>
    <row r="95" spans="1:18" ht="11.25" customHeight="1">
      <c r="A95" s="68" t="s">
        <v>512</v>
      </c>
      <c r="B95" s="875"/>
      <c r="C95" s="29"/>
      <c r="D95" s="25"/>
      <c r="E95" s="26"/>
      <c r="F95" s="47"/>
      <c r="G95" s="47">
        <v>0</v>
      </c>
      <c r="H95" s="27"/>
      <c r="I95" s="26">
        <f t="shared" ref="I95:I96" si="13">K95-G95</f>
        <v>15000</v>
      </c>
      <c r="J95" s="25"/>
      <c r="K95" s="26">
        <v>15000</v>
      </c>
      <c r="L95" s="25"/>
      <c r="M95" s="26">
        <v>0</v>
      </c>
      <c r="N95" s="742"/>
      <c r="O95" s="743">
        <v>0</v>
      </c>
      <c r="P95" s="917" t="s">
        <v>1088</v>
      </c>
    </row>
    <row r="96" spans="1:18" ht="11.25" customHeight="1">
      <c r="A96" s="68" t="s">
        <v>1312</v>
      </c>
      <c r="B96" s="875"/>
      <c r="C96" s="29"/>
      <c r="D96" s="25"/>
      <c r="E96" s="26">
        <v>40000</v>
      </c>
      <c r="F96" s="47"/>
      <c r="G96" s="47">
        <v>0</v>
      </c>
      <c r="H96" s="27"/>
      <c r="I96" s="26">
        <f t="shared" si="13"/>
        <v>0</v>
      </c>
      <c r="J96" s="25"/>
      <c r="K96" s="26">
        <v>0</v>
      </c>
      <c r="L96" s="25"/>
      <c r="M96" s="26">
        <v>0</v>
      </c>
      <c r="N96" s="742"/>
      <c r="O96" s="743">
        <v>0</v>
      </c>
      <c r="P96" s="917" t="s">
        <v>1088</v>
      </c>
    </row>
    <row r="97" spans="1:16" ht="11.25" customHeight="1">
      <c r="A97" s="68" t="s">
        <v>327</v>
      </c>
      <c r="B97" s="360"/>
      <c r="C97" s="29"/>
      <c r="D97" s="25"/>
      <c r="E97" s="26">
        <v>20000</v>
      </c>
      <c r="F97" s="47"/>
      <c r="G97" s="47">
        <v>0</v>
      </c>
      <c r="H97" s="27"/>
      <c r="I97" s="26">
        <f t="shared" si="12"/>
        <v>0</v>
      </c>
      <c r="J97" s="25"/>
      <c r="K97" s="26">
        <v>0</v>
      </c>
      <c r="L97" s="25"/>
      <c r="M97" s="26">
        <v>0</v>
      </c>
      <c r="N97" s="742"/>
      <c r="O97" s="743">
        <v>0</v>
      </c>
      <c r="P97" s="917" t="s">
        <v>1088</v>
      </c>
    </row>
    <row r="98" spans="1:16" ht="11.25" customHeight="1">
      <c r="A98" s="68" t="s">
        <v>153</v>
      </c>
      <c r="B98" s="360"/>
      <c r="C98" s="29" t="s">
        <v>151</v>
      </c>
      <c r="D98" s="71"/>
      <c r="E98" s="26"/>
      <c r="F98" s="364"/>
      <c r="G98" s="364"/>
      <c r="H98" s="363"/>
      <c r="I98" s="26">
        <f t="shared" si="12"/>
        <v>0</v>
      </c>
      <c r="J98" s="71"/>
      <c r="K98" s="69"/>
      <c r="L98" s="71"/>
      <c r="M98" s="69"/>
      <c r="N98" s="35"/>
      <c r="O98" s="745"/>
    </row>
    <row r="99" spans="1:16" ht="11.25" customHeight="1">
      <c r="A99" s="68" t="s">
        <v>739</v>
      </c>
      <c r="B99" s="360"/>
      <c r="C99" s="29"/>
      <c r="D99" s="71"/>
      <c r="E99" s="26">
        <v>399670</v>
      </c>
      <c r="F99" s="364"/>
      <c r="G99" s="408">
        <v>0</v>
      </c>
      <c r="H99" s="363"/>
      <c r="I99" s="26">
        <f t="shared" si="12"/>
        <v>142000</v>
      </c>
      <c r="J99" s="71"/>
      <c r="K99" s="26">
        <f>30000+27000+35000+50000</f>
        <v>142000</v>
      </c>
      <c r="L99" s="71"/>
      <c r="M99" s="26">
        <v>0</v>
      </c>
      <c r="N99" s="35"/>
      <c r="O99" s="743">
        <v>0</v>
      </c>
      <c r="P99" s="917" t="s">
        <v>1162</v>
      </c>
    </row>
    <row r="100" spans="1:16" ht="11.25" customHeight="1">
      <c r="A100" s="68" t="s">
        <v>1313</v>
      </c>
      <c r="B100" s="360"/>
      <c r="C100" s="29"/>
      <c r="D100" s="71"/>
      <c r="E100" s="26">
        <v>199970</v>
      </c>
      <c r="F100" s="364"/>
      <c r="G100" s="408">
        <v>0</v>
      </c>
      <c r="H100" s="363"/>
      <c r="I100" s="26">
        <f t="shared" si="12"/>
        <v>30000</v>
      </c>
      <c r="J100" s="71"/>
      <c r="K100" s="26">
        <f>30000</f>
        <v>30000</v>
      </c>
      <c r="L100" s="71"/>
      <c r="M100" s="26">
        <v>0</v>
      </c>
      <c r="N100" s="35"/>
      <c r="O100" s="743">
        <v>0</v>
      </c>
      <c r="P100" s="917" t="s">
        <v>1087</v>
      </c>
    </row>
    <row r="101" spans="1:16" ht="11.25" customHeight="1">
      <c r="A101" s="68" t="s">
        <v>340</v>
      </c>
      <c r="B101" s="360"/>
      <c r="C101" s="29"/>
      <c r="D101" s="71"/>
      <c r="E101" s="26">
        <v>78800</v>
      </c>
      <c r="F101" s="364"/>
      <c r="G101" s="408">
        <v>0</v>
      </c>
      <c r="H101" s="363"/>
      <c r="I101" s="26">
        <f t="shared" si="12"/>
        <v>0</v>
      </c>
      <c r="J101" s="71"/>
      <c r="K101" s="26">
        <v>0</v>
      </c>
      <c r="L101" s="71"/>
      <c r="M101" s="26">
        <v>0</v>
      </c>
      <c r="N101" s="35"/>
      <c r="O101" s="743">
        <v>0</v>
      </c>
    </row>
    <row r="102" spans="1:16" ht="11.25" customHeight="1">
      <c r="A102" s="68" t="s">
        <v>50</v>
      </c>
      <c r="B102" s="360"/>
      <c r="C102" s="29" t="s">
        <v>156</v>
      </c>
      <c r="D102" s="71"/>
      <c r="E102" s="26"/>
      <c r="F102" s="364"/>
      <c r="G102" s="364"/>
      <c r="H102" s="363"/>
      <c r="I102" s="26">
        <f t="shared" si="12"/>
        <v>0</v>
      </c>
      <c r="J102" s="71"/>
      <c r="K102" s="69"/>
      <c r="L102" s="71"/>
      <c r="M102" s="69"/>
      <c r="N102" s="35"/>
      <c r="O102" s="745"/>
    </row>
    <row r="103" spans="1:16" ht="11.25" customHeight="1">
      <c r="A103" s="68" t="s">
        <v>1219</v>
      </c>
      <c r="B103" s="570"/>
      <c r="C103" s="29"/>
      <c r="D103" s="71"/>
      <c r="E103" s="26">
        <v>80600</v>
      </c>
      <c r="F103" s="364"/>
      <c r="G103" s="364">
        <v>95115</v>
      </c>
      <c r="H103" s="363"/>
      <c r="I103" s="26">
        <f t="shared" si="12"/>
        <v>384885</v>
      </c>
      <c r="J103" s="71"/>
      <c r="K103" s="69">
        <f>120000+240000+120000</f>
        <v>480000</v>
      </c>
      <c r="L103" s="71"/>
      <c r="M103" s="69">
        <v>0</v>
      </c>
      <c r="N103" s="35"/>
      <c r="O103" s="745">
        <v>0</v>
      </c>
      <c r="P103" s="917" t="s">
        <v>1192</v>
      </c>
    </row>
    <row r="104" spans="1:16" ht="11.25" customHeight="1">
      <c r="A104" s="68" t="s">
        <v>1315</v>
      </c>
      <c r="B104" s="779"/>
      <c r="C104" s="29" t="s">
        <v>862</v>
      </c>
      <c r="D104" s="25"/>
      <c r="E104" s="26"/>
      <c r="F104" s="781"/>
      <c r="G104" s="781"/>
      <c r="H104" s="780"/>
      <c r="I104" s="26">
        <f t="shared" si="12"/>
        <v>0</v>
      </c>
      <c r="J104" s="25"/>
      <c r="K104" s="69"/>
      <c r="L104" s="71"/>
      <c r="M104" s="69"/>
      <c r="N104" s="35"/>
      <c r="O104" s="745"/>
    </row>
    <row r="105" spans="1:16" ht="11.25" customHeight="1">
      <c r="A105" s="68" t="s">
        <v>1316</v>
      </c>
      <c r="B105" s="779"/>
      <c r="C105" s="29"/>
      <c r="D105" s="25"/>
      <c r="E105" s="26">
        <v>9500000</v>
      </c>
      <c r="F105" s="781"/>
      <c r="G105" s="781">
        <v>0</v>
      </c>
      <c r="H105" s="780"/>
      <c r="I105" s="26">
        <f t="shared" si="12"/>
        <v>0</v>
      </c>
      <c r="J105" s="25"/>
      <c r="K105" s="69">
        <v>0</v>
      </c>
      <c r="L105" s="71"/>
      <c r="M105" s="69">
        <v>0</v>
      </c>
      <c r="N105" s="35"/>
      <c r="O105" s="745">
        <v>0</v>
      </c>
    </row>
    <row r="106" spans="1:16" ht="11.25" customHeight="1">
      <c r="A106" s="68" t="s">
        <v>1115</v>
      </c>
      <c r="B106" s="779"/>
      <c r="C106" s="29" t="s">
        <v>1116</v>
      </c>
      <c r="D106" s="25"/>
      <c r="E106" s="26"/>
      <c r="F106" s="781"/>
      <c r="G106" s="781"/>
      <c r="H106" s="780"/>
      <c r="I106" s="26">
        <f t="shared" si="12"/>
        <v>0</v>
      </c>
      <c r="J106" s="25"/>
      <c r="K106" s="69"/>
      <c r="L106" s="71"/>
      <c r="M106" s="69"/>
      <c r="N106" s="35"/>
      <c r="O106" s="745"/>
    </row>
    <row r="107" spans="1:16" ht="11.25" customHeight="1">
      <c r="A107" s="1251" t="s">
        <v>16</v>
      </c>
      <c r="B107" s="1253"/>
      <c r="C107" s="29"/>
      <c r="D107" s="35" t="s">
        <v>15</v>
      </c>
      <c r="E107" s="36">
        <f>SUM(E88:E106)</f>
        <v>10440014</v>
      </c>
      <c r="F107" s="72" t="s">
        <v>15</v>
      </c>
      <c r="G107" s="36">
        <f>SUM(G88:G106)</f>
        <v>95115</v>
      </c>
      <c r="H107" s="35" t="s">
        <v>15</v>
      </c>
      <c r="I107" s="36">
        <f>SUM(I88:I106)</f>
        <v>586885</v>
      </c>
      <c r="J107" s="35" t="s">
        <v>15</v>
      </c>
      <c r="K107" s="36">
        <f>SUM(K88:K106)</f>
        <v>682000</v>
      </c>
      <c r="L107" s="35" t="s">
        <v>15</v>
      </c>
      <c r="M107" s="36">
        <f>SUM(M88:M106)</f>
        <v>0</v>
      </c>
      <c r="N107" s="35" t="s">
        <v>15</v>
      </c>
      <c r="O107" s="36">
        <f>M107-K107</f>
        <v>-682000</v>
      </c>
    </row>
    <row r="108" spans="1:16" ht="11.25" customHeight="1">
      <c r="A108" s="1251"/>
      <c r="B108" s="1253"/>
      <c r="C108" s="29"/>
      <c r="D108" s="8"/>
      <c r="E108" s="23"/>
      <c r="F108" s="47"/>
      <c r="G108" s="47"/>
      <c r="H108" s="27"/>
      <c r="I108" s="26"/>
      <c r="J108" s="25"/>
      <c r="K108" s="26"/>
      <c r="L108" s="25"/>
      <c r="M108" s="26"/>
      <c r="N108" s="25"/>
      <c r="O108" s="26"/>
    </row>
    <row r="109" spans="1:16" ht="11.25" customHeight="1">
      <c r="A109" s="1259" t="s">
        <v>277</v>
      </c>
      <c r="B109" s="1261"/>
      <c r="C109" s="73"/>
      <c r="D109" s="66" t="s">
        <v>15</v>
      </c>
      <c r="E109" s="65">
        <f>E107+E86+E37</f>
        <v>68896558.790000007</v>
      </c>
      <c r="F109" s="64" t="s">
        <v>15</v>
      </c>
      <c r="G109" s="65">
        <f>G107+G86+G37</f>
        <v>18702536.600000001</v>
      </c>
      <c r="H109" s="66" t="s">
        <v>15</v>
      </c>
      <c r="I109" s="65">
        <f>I107+I86+I37</f>
        <v>39872027.400000006</v>
      </c>
      <c r="J109" s="66" t="s">
        <v>15</v>
      </c>
      <c r="K109" s="65">
        <f>K107+K86+K37</f>
        <v>58574564</v>
      </c>
      <c r="L109" s="66" t="s">
        <v>15</v>
      </c>
      <c r="M109" s="65">
        <f>M107+M86+M37</f>
        <v>55800633</v>
      </c>
      <c r="N109" s="66"/>
      <c r="O109" s="65"/>
    </row>
    <row r="110" spans="1:16" ht="6" customHeight="1">
      <c r="A110" s="911"/>
      <c r="B110" s="911"/>
      <c r="C110" s="33"/>
      <c r="D110" s="38"/>
      <c r="E110" s="39"/>
      <c r="F110" s="38"/>
      <c r="G110" s="39"/>
      <c r="H110" s="38"/>
      <c r="I110" s="39"/>
      <c r="J110" s="38"/>
      <c r="K110" s="39"/>
      <c r="L110" s="38"/>
      <c r="M110" s="39"/>
      <c r="N110" s="38"/>
      <c r="O110" s="39"/>
    </row>
    <row r="111" spans="1:16" ht="9.75" customHeight="1">
      <c r="A111" s="62" t="s">
        <v>1623</v>
      </c>
      <c r="B111" s="362"/>
      <c r="C111" s="33"/>
      <c r="D111" s="38"/>
      <c r="E111" s="39"/>
      <c r="F111" s="39"/>
      <c r="G111" s="39"/>
      <c r="H111" s="39"/>
      <c r="I111" s="39"/>
      <c r="J111" s="38"/>
      <c r="K111" s="39"/>
      <c r="L111" s="38"/>
      <c r="M111" s="39"/>
      <c r="N111" s="38"/>
      <c r="O111" s="39"/>
    </row>
    <row r="112" spans="1:16" ht="11.25" customHeight="1">
      <c r="A112" s="362"/>
      <c r="B112" s="362"/>
      <c r="C112" s="33"/>
      <c r="D112" s="38"/>
      <c r="E112" s="39"/>
      <c r="F112" s="39"/>
      <c r="G112" s="39"/>
      <c r="H112" s="39"/>
      <c r="I112" s="39"/>
      <c r="J112" s="38"/>
      <c r="K112" s="39"/>
      <c r="L112" s="38"/>
      <c r="M112" s="39"/>
      <c r="N112" s="38"/>
      <c r="O112" s="39"/>
    </row>
    <row r="113" spans="1:18" s="74" customFormat="1" ht="11.25" customHeight="1">
      <c r="A113" s="74" t="s">
        <v>187</v>
      </c>
      <c r="C113" s="75" t="s">
        <v>188</v>
      </c>
      <c r="I113" s="74" t="s">
        <v>190</v>
      </c>
      <c r="J113" s="76"/>
      <c r="L113" s="76"/>
      <c r="N113" s="76"/>
      <c r="P113" s="920"/>
      <c r="Q113" s="920"/>
      <c r="R113" s="925"/>
    </row>
    <row r="114" spans="1:18" ht="11.25" customHeight="1"/>
    <row r="115" spans="1:18" ht="11.25" customHeight="1"/>
    <row r="116" spans="1:18" s="11" customFormat="1" ht="11.25" customHeight="1">
      <c r="A116" s="1252" t="s">
        <v>1583</v>
      </c>
      <c r="B116" s="1252"/>
      <c r="C116" s="1252" t="s">
        <v>1584</v>
      </c>
      <c r="D116" s="1252"/>
      <c r="E116" s="1252"/>
      <c r="F116" s="1252"/>
      <c r="G116" s="1252"/>
      <c r="H116" s="782"/>
      <c r="I116" s="1252" t="s">
        <v>1585</v>
      </c>
      <c r="J116" s="1252"/>
      <c r="K116" s="1252"/>
      <c r="L116" s="1252"/>
      <c r="M116" s="1252"/>
      <c r="N116" s="783"/>
      <c r="O116" s="783"/>
      <c r="P116" s="921"/>
      <c r="Q116" s="921"/>
      <c r="R116" s="926"/>
    </row>
    <row r="117" spans="1:18" ht="11.25" customHeight="1">
      <c r="A117" s="1285" t="s">
        <v>767</v>
      </c>
      <c r="B117" s="1285"/>
      <c r="C117" s="1285" t="s">
        <v>193</v>
      </c>
      <c r="D117" s="1285"/>
      <c r="E117" s="1285"/>
      <c r="F117" s="1285"/>
      <c r="G117" s="1285"/>
      <c r="H117" s="784"/>
      <c r="I117" s="1285" t="s">
        <v>192</v>
      </c>
      <c r="J117" s="1285"/>
      <c r="K117" s="1285"/>
      <c r="L117" s="1285"/>
      <c r="M117" s="1285"/>
      <c r="N117" s="33"/>
      <c r="O117" s="33"/>
    </row>
    <row r="118" spans="1:18" ht="11.25" customHeight="1">
      <c r="A118" s="33"/>
      <c r="B118" s="33"/>
      <c r="C118" s="33"/>
      <c r="D118" s="40"/>
      <c r="E118" s="33"/>
      <c r="F118" s="33"/>
      <c r="G118" s="33"/>
      <c r="H118" s="33"/>
      <c r="I118" s="33"/>
      <c r="J118" s="40"/>
      <c r="K118" s="33"/>
      <c r="L118" s="40"/>
      <c r="M118" s="33"/>
      <c r="N118" s="40"/>
      <c r="O118" s="33"/>
    </row>
    <row r="119" spans="1:18" ht="11.25" customHeight="1"/>
    <row r="120" spans="1:18" ht="11.25" customHeight="1"/>
    <row r="121" spans="1:18" ht="11.25" customHeight="1"/>
    <row r="122" spans="1:18" s="926" customFormat="1" ht="11.25" customHeight="1">
      <c r="A122" s="926" t="s">
        <v>1024</v>
      </c>
      <c r="D122" s="927"/>
      <c r="J122" s="927"/>
      <c r="L122" s="927"/>
      <c r="N122" s="927"/>
      <c r="P122" s="921"/>
      <c r="Q122" s="921"/>
    </row>
    <row r="123" spans="1:18" s="926" customFormat="1" ht="11.25" customHeight="1">
      <c r="A123" s="926" t="s">
        <v>1028</v>
      </c>
      <c r="D123" s="927"/>
      <c r="J123" s="927"/>
      <c r="L123" s="927"/>
      <c r="N123" s="927"/>
      <c r="P123" s="921"/>
      <c r="Q123" s="921"/>
    </row>
    <row r="124" spans="1:18" s="922" customFormat="1" ht="11.25" customHeight="1">
      <c r="A124" s="922" t="s">
        <v>1023</v>
      </c>
      <c r="D124" s="928"/>
      <c r="J124" s="928"/>
      <c r="L124" s="928"/>
      <c r="N124" s="928"/>
      <c r="P124" s="917"/>
      <c r="Q124" s="917"/>
    </row>
    <row r="125" spans="1:18" s="922" customFormat="1" ht="11.25" customHeight="1">
      <c r="D125" s="928"/>
      <c r="J125" s="928"/>
      <c r="L125" s="928"/>
      <c r="N125" s="928"/>
      <c r="P125" s="917"/>
      <c r="Q125" s="917"/>
    </row>
    <row r="126" spans="1:18" s="922" customFormat="1" ht="11.25" customHeight="1">
      <c r="A126" s="926" t="s">
        <v>519</v>
      </c>
      <c r="D126" s="928"/>
      <c r="J126" s="928"/>
      <c r="L126" s="928"/>
      <c r="N126" s="928"/>
      <c r="P126" s="917"/>
      <c r="Q126" s="917"/>
    </row>
    <row r="127" spans="1:18" s="922" customFormat="1" ht="11.25" customHeight="1">
      <c r="A127" s="922" t="s">
        <v>1025</v>
      </c>
      <c r="D127" s="928"/>
      <c r="J127" s="928"/>
      <c r="L127" s="928"/>
      <c r="N127" s="928"/>
      <c r="P127" s="917"/>
      <c r="Q127" s="917"/>
    </row>
    <row r="128" spans="1:18" s="922" customFormat="1" ht="11.25" customHeight="1">
      <c r="A128" s="922" t="s">
        <v>1026</v>
      </c>
      <c r="D128" s="928"/>
      <c r="J128" s="928"/>
      <c r="L128" s="928"/>
      <c r="N128" s="928"/>
      <c r="P128" s="917"/>
      <c r="Q128" s="917"/>
    </row>
    <row r="129" spans="1:17" s="922" customFormat="1" ht="11.25" customHeight="1">
      <c r="D129" s="928"/>
      <c r="J129" s="928"/>
      <c r="L129" s="928"/>
      <c r="N129" s="928"/>
      <c r="P129" s="917"/>
      <c r="Q129" s="917"/>
    </row>
    <row r="130" spans="1:17" s="926" customFormat="1" ht="11.25" customHeight="1">
      <c r="A130" s="926" t="s">
        <v>1027</v>
      </c>
      <c r="D130" s="927"/>
      <c r="J130" s="927"/>
      <c r="L130" s="927"/>
      <c r="N130" s="927"/>
      <c r="P130" s="921"/>
      <c r="Q130" s="921"/>
    </row>
    <row r="131" spans="1:17" s="922" customFormat="1" ht="11.25" customHeight="1">
      <c r="A131" s="922" t="s">
        <v>1029</v>
      </c>
      <c r="D131" s="928"/>
      <c r="J131" s="928"/>
      <c r="L131" s="928"/>
      <c r="N131" s="928"/>
      <c r="P131" s="917"/>
      <c r="Q131" s="917"/>
    </row>
    <row r="132" spans="1:17" ht="11.25" customHeight="1"/>
    <row r="133" spans="1:17" ht="11.25" customHeight="1"/>
    <row r="134" spans="1:17" ht="11.25" customHeight="1"/>
    <row r="135" spans="1:17" ht="11.25" customHeight="1"/>
    <row r="136" spans="1:17" ht="11.25" customHeight="1"/>
    <row r="137" spans="1:17" ht="11.25" customHeight="1"/>
    <row r="138" spans="1:17" ht="11.25" customHeight="1"/>
    <row r="139" spans="1:17" ht="11.25" customHeight="1"/>
    <row r="140" spans="1:17" ht="11.25" customHeight="1"/>
    <row r="141" spans="1:17" ht="11.25" customHeight="1"/>
    <row r="142" spans="1:17" ht="11.25" customHeight="1"/>
  </sheetData>
  <sheetProtection algorithmName="SHA-512" hashValue="CtN/kNvUxfo5UKTu2LHdzvtgW9D/xYrgutav1cHP1KGtAMoolQLNo4wCCtT4N4LxLdPCJZUt2/x2VlaLCox0yA==" saltValue="sGiM5vq1zaB+GZNO9j9IVA==" spinCount="100000" sheet="1" objects="1" scenarios="1"/>
  <mergeCells count="29">
    <mergeCell ref="N11:O13"/>
    <mergeCell ref="A3:M3"/>
    <mergeCell ref="A4:M4"/>
    <mergeCell ref="F7:M7"/>
    <mergeCell ref="F8:M8"/>
    <mergeCell ref="D11:E11"/>
    <mergeCell ref="F11:K11"/>
    <mergeCell ref="L11:M11"/>
    <mergeCell ref="L12:M12"/>
    <mergeCell ref="D13:E13"/>
    <mergeCell ref="F13:G13"/>
    <mergeCell ref="H13:I13"/>
    <mergeCell ref="L13:M13"/>
    <mergeCell ref="A12:B12"/>
    <mergeCell ref="D12:E12"/>
    <mergeCell ref="F12:G12"/>
    <mergeCell ref="H12:I12"/>
    <mergeCell ref="J12:K13"/>
    <mergeCell ref="A37:B37"/>
    <mergeCell ref="A86:B86"/>
    <mergeCell ref="A107:B107"/>
    <mergeCell ref="A108:B108"/>
    <mergeCell ref="A109:B109"/>
    <mergeCell ref="C116:G116"/>
    <mergeCell ref="I116:M116"/>
    <mergeCell ref="A117:B117"/>
    <mergeCell ref="C117:G117"/>
    <mergeCell ref="I117:M117"/>
    <mergeCell ref="A116:B116"/>
  </mergeCells>
  <pageMargins left="0.15" right="0.15" top="1" bottom="0.75" header="0.38" footer="0.38"/>
  <pageSetup paperSize="14" orientation="portrait" verticalDpi="300" r:id="rId1"/>
  <headerFooter alignWithMargins="0">
    <oddHeader>&amp;RPage &amp;P of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FF00"/>
  </sheetPr>
  <dimension ref="A1:V49"/>
  <sheetViews>
    <sheetView topLeftCell="A38" zoomScale="160" zoomScaleNormal="160" workbookViewId="0">
      <selection activeCell="N22" sqref="N22"/>
    </sheetView>
  </sheetViews>
  <sheetFormatPr defaultColWidth="9.140625" defaultRowHeight="13.5"/>
  <cols>
    <col min="1" max="1" width="8" style="86" customWidth="1"/>
    <col min="2" max="2" width="27.42578125" style="86" customWidth="1"/>
    <col min="3" max="3" width="8.140625" style="86" customWidth="1"/>
    <col min="4" max="4" width="2.28515625" style="87" customWidth="1"/>
    <col min="5" max="5" width="10.42578125" style="86" customWidth="1"/>
    <col min="6" max="6" width="2.28515625" style="87" customWidth="1"/>
    <col min="7" max="7" width="8.7109375" style="86" customWidth="1"/>
    <col min="8" max="8" width="2.28515625" style="87" customWidth="1"/>
    <col min="9" max="9" width="9.85546875" style="86" customWidth="1"/>
    <col min="10" max="10" width="2.28515625" style="87" customWidth="1"/>
    <col min="11" max="11" width="10" style="86" customWidth="1"/>
    <col min="12" max="12" width="2.28515625" style="87" customWidth="1"/>
    <col min="13" max="13" width="10.42578125" style="86" customWidth="1"/>
    <col min="14" max="14" width="2.28515625" style="966" hidden="1" customWidth="1"/>
    <col min="15" max="15" width="9.7109375" style="961" hidden="1" customWidth="1"/>
    <col min="16" max="16" width="9.28515625" style="961" bestFit="1" customWidth="1"/>
    <col min="17" max="17" width="10" style="961" bestFit="1" customWidth="1"/>
    <col min="18" max="18" width="9.140625" style="961"/>
    <col min="19" max="16384" width="9.140625" style="86"/>
  </cols>
  <sheetData>
    <row r="1" spans="1:15">
      <c r="A1" s="86" t="s">
        <v>186</v>
      </c>
    </row>
    <row r="3" spans="1:15" ht="6.75" customHeight="1"/>
    <row r="4" spans="1:15">
      <c r="A4" s="1323" t="s">
        <v>195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967"/>
      <c r="O4" s="967"/>
    </row>
    <row r="5" spans="1:15">
      <c r="A5" s="1323" t="s">
        <v>401</v>
      </c>
      <c r="B5" s="1323"/>
      <c r="C5" s="1323"/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967"/>
      <c r="O5" s="967"/>
    </row>
    <row r="6" spans="1:15" ht="9" customHeight="1"/>
    <row r="7" spans="1:15">
      <c r="A7" s="89" t="s">
        <v>85</v>
      </c>
      <c r="B7" s="90" t="s">
        <v>448</v>
      </c>
      <c r="C7" s="90"/>
    </row>
    <row r="8" spans="1:15" hidden="1">
      <c r="A8" s="86" t="s">
        <v>2</v>
      </c>
      <c r="B8" s="91" t="s">
        <v>447</v>
      </c>
      <c r="C8" s="91"/>
      <c r="F8" s="1338"/>
      <c r="G8" s="1338"/>
      <c r="H8" s="1338"/>
      <c r="I8" s="1338"/>
      <c r="J8" s="1338"/>
      <c r="K8" s="1338"/>
      <c r="L8" s="1338"/>
      <c r="M8" s="1338"/>
      <c r="N8" s="968"/>
      <c r="O8" s="968"/>
    </row>
    <row r="9" spans="1:15" hidden="1">
      <c r="A9" s="86" t="s">
        <v>3</v>
      </c>
      <c r="B9" s="91" t="s">
        <v>20</v>
      </c>
      <c r="C9" s="91"/>
      <c r="F9" s="1322"/>
      <c r="G9" s="1322"/>
      <c r="H9" s="1322"/>
      <c r="I9" s="1322"/>
      <c r="J9" s="1322"/>
      <c r="K9" s="1322"/>
      <c r="L9" s="1322"/>
      <c r="M9" s="1322"/>
      <c r="N9" s="962"/>
      <c r="O9" s="962"/>
    </row>
    <row r="10" spans="1:15" hidden="1">
      <c r="A10" s="86" t="s">
        <v>4</v>
      </c>
      <c r="B10" s="91" t="s">
        <v>404</v>
      </c>
      <c r="C10" s="91"/>
    </row>
    <row r="11" spans="1:15" ht="7.5" customHeight="1"/>
    <row r="12" spans="1:15">
      <c r="A12" s="93"/>
      <c r="B12" s="94"/>
      <c r="C12" s="2" t="s">
        <v>5</v>
      </c>
      <c r="D12" s="1300" t="s">
        <v>7</v>
      </c>
      <c r="E12" s="1300"/>
      <c r="F12" s="1301" t="s">
        <v>1304</v>
      </c>
      <c r="G12" s="1302"/>
      <c r="H12" s="1302"/>
      <c r="I12" s="1302"/>
      <c r="J12" s="1302"/>
      <c r="K12" s="1303"/>
      <c r="L12" s="1300" t="s">
        <v>8</v>
      </c>
      <c r="M12" s="1300"/>
      <c r="N12" s="1328" t="s">
        <v>494</v>
      </c>
      <c r="O12" s="1329"/>
    </row>
    <row r="13" spans="1:15">
      <c r="A13" s="1334" t="s">
        <v>34</v>
      </c>
      <c r="B13" s="1335"/>
      <c r="C13" s="3" t="s">
        <v>6</v>
      </c>
      <c r="D13" s="1304">
        <v>2021</v>
      </c>
      <c r="E13" s="1304"/>
      <c r="F13" s="1286" t="s">
        <v>184</v>
      </c>
      <c r="G13" s="1287"/>
      <c r="H13" s="1286" t="s">
        <v>185</v>
      </c>
      <c r="I13" s="1287"/>
      <c r="J13" s="1288" t="s">
        <v>64</v>
      </c>
      <c r="K13" s="1289"/>
      <c r="L13" s="1304">
        <v>2023</v>
      </c>
      <c r="M13" s="1304"/>
      <c r="N13" s="1330"/>
      <c r="O13" s="1331"/>
    </row>
    <row r="14" spans="1:15">
      <c r="A14" s="95"/>
      <c r="B14" s="96"/>
      <c r="C14" s="4"/>
      <c r="D14" s="1305" t="s">
        <v>10</v>
      </c>
      <c r="E14" s="1305"/>
      <c r="F14" s="1306" t="s">
        <v>10</v>
      </c>
      <c r="G14" s="1307"/>
      <c r="H14" s="1306" t="s">
        <v>9</v>
      </c>
      <c r="I14" s="1307"/>
      <c r="J14" s="1290"/>
      <c r="K14" s="1291"/>
      <c r="L14" s="1305" t="s">
        <v>27</v>
      </c>
      <c r="M14" s="1305"/>
      <c r="N14" s="1332"/>
      <c r="O14" s="1333"/>
    </row>
    <row r="15" spans="1:15" ht="3" customHeight="1">
      <c r="A15" s="101"/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  <c r="N15" s="971"/>
      <c r="O15" s="1035"/>
    </row>
    <row r="16" spans="1:15">
      <c r="A16" s="97" t="s">
        <v>282</v>
      </c>
      <c r="B16" s="98"/>
      <c r="C16" s="99"/>
      <c r="D16" s="100"/>
      <c r="E16" s="7"/>
      <c r="F16" s="100"/>
      <c r="G16" s="7"/>
      <c r="H16" s="100"/>
      <c r="I16" s="7"/>
      <c r="J16" s="100"/>
      <c r="K16" s="7"/>
      <c r="L16" s="100"/>
      <c r="M16" s="7"/>
      <c r="N16" s="971"/>
      <c r="O16" s="1035"/>
    </row>
    <row r="17" spans="1:18" ht="15.75" customHeight="1">
      <c r="A17" s="101" t="s">
        <v>41</v>
      </c>
      <c r="B17" s="98"/>
      <c r="C17" s="102" t="s">
        <v>126</v>
      </c>
      <c r="D17" s="100" t="s">
        <v>15</v>
      </c>
      <c r="E17" s="7">
        <v>10000</v>
      </c>
      <c r="F17" s="100" t="s">
        <v>15</v>
      </c>
      <c r="G17" s="7">
        <v>13600</v>
      </c>
      <c r="H17" s="100" t="s">
        <v>15</v>
      </c>
      <c r="I17" s="7">
        <f>K17-G17</f>
        <v>26400</v>
      </c>
      <c r="J17" s="100" t="s">
        <v>15</v>
      </c>
      <c r="K17" s="7">
        <v>40000</v>
      </c>
      <c r="L17" s="100" t="s">
        <v>15</v>
      </c>
      <c r="M17" s="7">
        <v>5000</v>
      </c>
      <c r="N17" s="973" t="s">
        <v>15</v>
      </c>
      <c r="O17" s="1036">
        <f>M17-K17</f>
        <v>-35000</v>
      </c>
      <c r="P17" s="963">
        <f>K17*0.1</f>
        <v>4000</v>
      </c>
      <c r="Q17" s="963">
        <f>P17+K17</f>
        <v>44000</v>
      </c>
    </row>
    <row r="18" spans="1:18">
      <c r="A18" s="101" t="s">
        <v>42</v>
      </c>
      <c r="B18" s="98"/>
      <c r="C18" s="102" t="s">
        <v>127</v>
      </c>
      <c r="D18" s="100"/>
      <c r="E18" s="157">
        <v>5000</v>
      </c>
      <c r="F18" s="100"/>
      <c r="G18" s="157">
        <v>11800</v>
      </c>
      <c r="H18" s="100"/>
      <c r="I18" s="7">
        <f t="shared" ref="I18:I31" si="0">K18-G18</f>
        <v>17700</v>
      </c>
      <c r="J18" s="100"/>
      <c r="K18" s="7">
        <v>29500</v>
      </c>
      <c r="L18" s="100"/>
      <c r="M18" s="7">
        <v>0</v>
      </c>
      <c r="N18" s="975"/>
      <c r="O18" s="1036">
        <f t="shared" ref="O18:O26" si="1">M18-K18</f>
        <v>-29500</v>
      </c>
      <c r="P18" s="963">
        <f t="shared" ref="P18:P31" si="2">K18*0.1</f>
        <v>2950</v>
      </c>
      <c r="Q18" s="963">
        <f t="shared" ref="Q18:Q31" si="3">P18+K18</f>
        <v>32450</v>
      </c>
    </row>
    <row r="19" spans="1:18">
      <c r="A19" s="101" t="s">
        <v>28</v>
      </c>
      <c r="B19" s="98"/>
      <c r="C19" s="102" t="s">
        <v>128</v>
      </c>
      <c r="D19" s="100"/>
      <c r="E19" s="157">
        <v>19515</v>
      </c>
      <c r="F19" s="100"/>
      <c r="G19" s="157">
        <v>9108</v>
      </c>
      <c r="H19" s="100"/>
      <c r="I19" s="7">
        <f t="shared" si="0"/>
        <v>40892</v>
      </c>
      <c r="J19" s="100"/>
      <c r="K19" s="7">
        <v>50000</v>
      </c>
      <c r="L19" s="100"/>
      <c r="M19" s="7">
        <v>15000</v>
      </c>
      <c r="N19" s="975"/>
      <c r="O19" s="1036">
        <f t="shared" si="1"/>
        <v>-35000</v>
      </c>
      <c r="P19" s="963">
        <f t="shared" si="2"/>
        <v>5000</v>
      </c>
      <c r="Q19" s="963">
        <f t="shared" si="3"/>
        <v>55000</v>
      </c>
    </row>
    <row r="20" spans="1:18">
      <c r="A20" s="101" t="s">
        <v>497</v>
      </c>
      <c r="B20" s="98"/>
      <c r="C20" s="102" t="s">
        <v>174</v>
      </c>
      <c r="D20" s="100"/>
      <c r="E20" s="157">
        <v>23887</v>
      </c>
      <c r="F20" s="100"/>
      <c r="G20" s="157">
        <v>6354</v>
      </c>
      <c r="H20" s="100"/>
      <c r="I20" s="7">
        <f t="shared" si="0"/>
        <v>74146</v>
      </c>
      <c r="J20" s="100"/>
      <c r="K20" s="7">
        <v>80500</v>
      </c>
      <c r="L20" s="100"/>
      <c r="M20" s="7">
        <v>15000</v>
      </c>
      <c r="N20" s="975"/>
      <c r="O20" s="1036">
        <f t="shared" si="1"/>
        <v>-65500</v>
      </c>
      <c r="P20" s="963">
        <f t="shared" si="2"/>
        <v>8050</v>
      </c>
      <c r="Q20" s="963">
        <f t="shared" si="3"/>
        <v>88550</v>
      </c>
      <c r="R20" s="961" t="s">
        <v>318</v>
      </c>
    </row>
    <row r="21" spans="1:18">
      <c r="A21" s="101" t="s">
        <v>130</v>
      </c>
      <c r="B21" s="98"/>
      <c r="C21" s="102" t="s">
        <v>129</v>
      </c>
      <c r="D21" s="100"/>
      <c r="E21" s="157">
        <v>31500</v>
      </c>
      <c r="F21" s="100"/>
      <c r="G21" s="157">
        <v>0</v>
      </c>
      <c r="H21" s="100"/>
      <c r="I21" s="7">
        <f t="shared" si="0"/>
        <v>60000</v>
      </c>
      <c r="J21" s="100"/>
      <c r="K21" s="7">
        <v>60000</v>
      </c>
      <c r="L21" s="100"/>
      <c r="M21" s="7">
        <v>80000</v>
      </c>
      <c r="N21" s="975"/>
      <c r="O21" s="1036">
        <f t="shared" si="1"/>
        <v>20000</v>
      </c>
      <c r="P21" s="963">
        <f t="shared" si="2"/>
        <v>6000</v>
      </c>
      <c r="Q21" s="963">
        <f t="shared" si="3"/>
        <v>66000</v>
      </c>
    </row>
    <row r="22" spans="1:18">
      <c r="A22" s="101" t="s">
        <v>163</v>
      </c>
      <c r="B22" s="98"/>
      <c r="C22" s="102" t="s">
        <v>133</v>
      </c>
      <c r="D22" s="100"/>
      <c r="E22" s="157">
        <v>8460.36</v>
      </c>
      <c r="F22" s="100"/>
      <c r="G22" s="157">
        <v>0</v>
      </c>
      <c r="H22" s="100"/>
      <c r="I22" s="7">
        <f t="shared" si="0"/>
        <v>0</v>
      </c>
      <c r="J22" s="100"/>
      <c r="K22" s="7">
        <v>0</v>
      </c>
      <c r="L22" s="100"/>
      <c r="M22" s="7">
        <v>0</v>
      </c>
      <c r="N22" s="975"/>
      <c r="O22" s="1036">
        <f t="shared" si="1"/>
        <v>0</v>
      </c>
      <c r="P22" s="963">
        <f t="shared" si="2"/>
        <v>0</v>
      </c>
      <c r="Q22" s="963">
        <f t="shared" si="3"/>
        <v>0</v>
      </c>
    </row>
    <row r="23" spans="1:18">
      <c r="A23" s="101" t="s">
        <v>135</v>
      </c>
      <c r="B23" s="98"/>
      <c r="C23" s="102" t="s">
        <v>134</v>
      </c>
      <c r="D23" s="100"/>
      <c r="E23" s="157">
        <v>19762.330000000002</v>
      </c>
      <c r="F23" s="100"/>
      <c r="G23" s="157">
        <v>7935.32</v>
      </c>
      <c r="H23" s="100"/>
      <c r="I23" s="7">
        <f t="shared" si="0"/>
        <v>16064.68</v>
      </c>
      <c r="J23" s="100"/>
      <c r="K23" s="7">
        <v>24000</v>
      </c>
      <c r="L23" s="100"/>
      <c r="M23" s="7">
        <v>24000</v>
      </c>
      <c r="N23" s="975"/>
      <c r="O23" s="1036">
        <f t="shared" si="1"/>
        <v>0</v>
      </c>
      <c r="P23" s="963">
        <f t="shared" si="2"/>
        <v>2400</v>
      </c>
      <c r="Q23" s="963">
        <f t="shared" si="3"/>
        <v>26400</v>
      </c>
    </row>
    <row r="24" spans="1:18">
      <c r="A24" s="101" t="s">
        <v>0</v>
      </c>
      <c r="B24" s="98"/>
      <c r="C24" s="102" t="s">
        <v>164</v>
      </c>
      <c r="D24" s="100"/>
      <c r="E24" s="157">
        <v>0</v>
      </c>
      <c r="F24" s="100"/>
      <c r="G24" s="157">
        <v>0</v>
      </c>
      <c r="H24" s="100"/>
      <c r="I24" s="7">
        <f t="shared" si="0"/>
        <v>0</v>
      </c>
      <c r="J24" s="100"/>
      <c r="K24" s="7">
        <v>0</v>
      </c>
      <c r="L24" s="100"/>
      <c r="M24" s="7">
        <v>0</v>
      </c>
      <c r="N24" s="975"/>
      <c r="O24" s="1036">
        <f t="shared" si="1"/>
        <v>0</v>
      </c>
      <c r="P24" s="963">
        <f t="shared" si="2"/>
        <v>0</v>
      </c>
      <c r="Q24" s="963">
        <f t="shared" si="3"/>
        <v>0</v>
      </c>
    </row>
    <row r="25" spans="1:18">
      <c r="A25" s="101" t="s">
        <v>142</v>
      </c>
      <c r="B25" s="98"/>
      <c r="C25" s="102" t="s">
        <v>141</v>
      </c>
      <c r="D25" s="100"/>
      <c r="E25" s="157">
        <v>0</v>
      </c>
      <c r="F25" s="100"/>
      <c r="G25" s="157">
        <v>0</v>
      </c>
      <c r="H25" s="100"/>
      <c r="I25" s="7">
        <f t="shared" si="0"/>
        <v>0</v>
      </c>
      <c r="J25" s="100"/>
      <c r="K25" s="7">
        <v>0</v>
      </c>
      <c r="L25" s="100"/>
      <c r="M25" s="7">
        <v>0</v>
      </c>
      <c r="N25" s="975"/>
      <c r="O25" s="1036">
        <f t="shared" si="1"/>
        <v>0</v>
      </c>
      <c r="P25" s="963">
        <f t="shared" si="2"/>
        <v>0</v>
      </c>
      <c r="Q25" s="963">
        <f t="shared" si="3"/>
        <v>0</v>
      </c>
    </row>
    <row r="26" spans="1:18">
      <c r="A26" s="101" t="s">
        <v>145</v>
      </c>
      <c r="B26" s="98"/>
      <c r="C26" s="102" t="s">
        <v>144</v>
      </c>
      <c r="D26" s="100"/>
      <c r="E26" s="157">
        <v>68290</v>
      </c>
      <c r="F26" s="100"/>
      <c r="G26" s="157">
        <v>8091</v>
      </c>
      <c r="H26" s="100"/>
      <c r="I26" s="7">
        <f t="shared" si="0"/>
        <v>91909</v>
      </c>
      <c r="J26" s="100"/>
      <c r="K26" s="7">
        <v>100000</v>
      </c>
      <c r="L26" s="100"/>
      <c r="M26" s="7">
        <v>63000</v>
      </c>
      <c r="N26" s="975"/>
      <c r="O26" s="1036">
        <f t="shared" si="1"/>
        <v>-37000</v>
      </c>
      <c r="P26" s="963">
        <f t="shared" si="2"/>
        <v>10000</v>
      </c>
      <c r="Q26" s="963">
        <f t="shared" si="3"/>
        <v>110000</v>
      </c>
    </row>
    <row r="27" spans="1:18">
      <c r="A27" s="101" t="s">
        <v>33</v>
      </c>
      <c r="B27" s="119"/>
      <c r="C27" s="102" t="s">
        <v>148</v>
      </c>
      <c r="D27" s="100"/>
      <c r="E27" s="157"/>
      <c r="F27" s="100"/>
      <c r="G27" s="157"/>
      <c r="H27" s="100"/>
      <c r="I27" s="7">
        <f t="shared" si="0"/>
        <v>0</v>
      </c>
      <c r="J27" s="100"/>
      <c r="K27" s="7"/>
      <c r="L27" s="100"/>
      <c r="M27" s="7"/>
      <c r="N27" s="975"/>
      <c r="O27" s="996"/>
      <c r="P27" s="963">
        <f t="shared" si="2"/>
        <v>0</v>
      </c>
      <c r="Q27" s="963">
        <f t="shared" si="3"/>
        <v>0</v>
      </c>
    </row>
    <row r="28" spans="1:18">
      <c r="A28" s="101"/>
      <c r="B28" s="264" t="s">
        <v>510</v>
      </c>
      <c r="C28" s="102"/>
      <c r="D28" s="100"/>
      <c r="E28" s="157">
        <v>38500</v>
      </c>
      <c r="F28" s="100"/>
      <c r="G28" s="157">
        <v>21000</v>
      </c>
      <c r="H28" s="100"/>
      <c r="I28" s="7">
        <f>K28-G28</f>
        <v>21000</v>
      </c>
      <c r="J28" s="100"/>
      <c r="K28" s="7">
        <v>42000</v>
      </c>
      <c r="L28" s="100"/>
      <c r="M28" s="7">
        <v>60000</v>
      </c>
      <c r="N28" s="975"/>
      <c r="O28" s="1036">
        <f t="shared" ref="O28:O31" si="4">M28-K28</f>
        <v>18000</v>
      </c>
      <c r="P28" s="963"/>
      <c r="Q28" s="963"/>
    </row>
    <row r="29" spans="1:18">
      <c r="A29" s="101"/>
      <c r="B29" s="264" t="s">
        <v>752</v>
      </c>
      <c r="C29" s="102"/>
      <c r="D29" s="100"/>
      <c r="E29" s="157">
        <v>13545</v>
      </c>
      <c r="F29" s="100"/>
      <c r="G29" s="157">
        <v>9090</v>
      </c>
      <c r="H29" s="100"/>
      <c r="I29" s="7">
        <f>K29-G29</f>
        <v>20910</v>
      </c>
      <c r="J29" s="100"/>
      <c r="K29" s="7">
        <v>30000</v>
      </c>
      <c r="L29" s="100"/>
      <c r="M29" s="7">
        <v>12000</v>
      </c>
      <c r="N29" s="975"/>
      <c r="O29" s="1036">
        <f t="shared" si="4"/>
        <v>-18000</v>
      </c>
      <c r="P29" s="963"/>
      <c r="Q29" s="963"/>
    </row>
    <row r="30" spans="1:18">
      <c r="A30" s="101"/>
      <c r="B30" s="264" t="s">
        <v>342</v>
      </c>
      <c r="C30" s="102"/>
      <c r="D30" s="100"/>
      <c r="E30" s="157">
        <v>874736.44</v>
      </c>
      <c r="F30" s="100"/>
      <c r="G30" s="157">
        <v>436516.8</v>
      </c>
      <c r="H30" s="100"/>
      <c r="I30" s="7">
        <f t="shared" ref="I30" si="5">K30-G30</f>
        <v>514083.2</v>
      </c>
      <c r="J30" s="100"/>
      <c r="K30" s="7">
        <v>950600</v>
      </c>
      <c r="L30" s="100"/>
      <c r="M30" s="7">
        <v>950600</v>
      </c>
      <c r="N30" s="975"/>
      <c r="O30" s="1036">
        <f t="shared" si="4"/>
        <v>0</v>
      </c>
      <c r="P30" s="963">
        <f t="shared" ref="P30" si="6">K30*0.1</f>
        <v>95060</v>
      </c>
      <c r="Q30" s="963">
        <f t="shared" ref="Q30" si="7">P30+K30</f>
        <v>1045660</v>
      </c>
    </row>
    <row r="31" spans="1:18">
      <c r="A31" s="101"/>
      <c r="B31" s="264" t="s">
        <v>753</v>
      </c>
      <c r="C31" s="102"/>
      <c r="D31" s="100"/>
      <c r="E31" s="157">
        <v>0</v>
      </c>
      <c r="F31" s="100"/>
      <c r="G31" s="157">
        <v>0</v>
      </c>
      <c r="H31" s="100"/>
      <c r="I31" s="7">
        <f t="shared" si="0"/>
        <v>5500</v>
      </c>
      <c r="J31" s="100"/>
      <c r="K31" s="105">
        <v>5500</v>
      </c>
      <c r="L31" s="104"/>
      <c r="M31" s="105">
        <v>0</v>
      </c>
      <c r="N31" s="975"/>
      <c r="O31" s="1036">
        <f t="shared" si="4"/>
        <v>-5500</v>
      </c>
      <c r="P31" s="963">
        <f t="shared" si="2"/>
        <v>550</v>
      </c>
      <c r="Q31" s="963">
        <f t="shared" si="3"/>
        <v>6050</v>
      </c>
    </row>
    <row r="32" spans="1:18">
      <c r="A32" s="1325" t="s">
        <v>13</v>
      </c>
      <c r="B32" s="1326"/>
      <c r="C32" s="102"/>
      <c r="D32" s="109" t="s">
        <v>15</v>
      </c>
      <c r="E32" s="110">
        <f>SUM(E17:E31)</f>
        <v>1113196.1299999999</v>
      </c>
      <c r="F32" s="109" t="s">
        <v>15</v>
      </c>
      <c r="G32" s="110">
        <f>SUM(G17:G31)</f>
        <v>523495.12</v>
      </c>
      <c r="H32" s="109" t="s">
        <v>15</v>
      </c>
      <c r="I32" s="110">
        <f>SUM(I17:I31)</f>
        <v>888604.88</v>
      </c>
      <c r="J32" s="109" t="s">
        <v>15</v>
      </c>
      <c r="K32" s="110">
        <f>SUM(K17:K31)</f>
        <v>1412100</v>
      </c>
      <c r="L32" s="125" t="s">
        <v>15</v>
      </c>
      <c r="M32" s="110">
        <f>SUM(M17:M31)</f>
        <v>1224600</v>
      </c>
      <c r="N32" s="981" t="s">
        <v>15</v>
      </c>
      <c r="O32" s="1033">
        <f>SUM(O17:O31)</f>
        <v>-187500</v>
      </c>
      <c r="P32" s="963">
        <f>M32-K32</f>
        <v>-187500</v>
      </c>
    </row>
    <row r="33" spans="1:22" ht="3.75" customHeight="1">
      <c r="A33" s="155"/>
      <c r="B33" s="119"/>
      <c r="C33" s="102"/>
      <c r="D33" s="122"/>
      <c r="E33" s="123"/>
      <c r="F33" s="122"/>
      <c r="G33" s="123"/>
      <c r="H33" s="122"/>
      <c r="I33" s="123"/>
      <c r="J33" s="122"/>
      <c r="K33" s="123"/>
      <c r="L33" s="122"/>
      <c r="M33" s="123"/>
      <c r="N33" s="979"/>
      <c r="O33" s="1040"/>
    </row>
    <row r="34" spans="1:22" ht="13.5" customHeight="1">
      <c r="A34" s="121" t="s">
        <v>283</v>
      </c>
      <c r="B34" s="119"/>
      <c r="C34" s="102"/>
      <c r="D34" s="122"/>
      <c r="E34" s="123"/>
      <c r="F34" s="122"/>
      <c r="G34" s="123"/>
      <c r="H34" s="122"/>
      <c r="I34" s="123"/>
      <c r="J34" s="122"/>
      <c r="K34" s="123"/>
      <c r="L34" s="122"/>
      <c r="M34" s="123"/>
      <c r="N34" s="979"/>
      <c r="O34" s="1040"/>
    </row>
    <row r="35" spans="1:22" ht="14.25" customHeight="1">
      <c r="A35" s="124" t="s">
        <v>51</v>
      </c>
      <c r="B35" s="119"/>
      <c r="C35" s="102" t="s">
        <v>149</v>
      </c>
      <c r="D35" s="100" t="s">
        <v>15</v>
      </c>
      <c r="E35" s="7">
        <v>0</v>
      </c>
      <c r="F35" s="100" t="s">
        <v>15</v>
      </c>
      <c r="G35" s="7">
        <v>0</v>
      </c>
      <c r="H35" s="100" t="s">
        <v>15</v>
      </c>
      <c r="I35" s="7">
        <f t="shared" ref="I35" si="8">K35-G35</f>
        <v>0</v>
      </c>
      <c r="J35" s="100" t="s">
        <v>15</v>
      </c>
      <c r="K35" s="7"/>
      <c r="L35" s="100" t="s">
        <v>15</v>
      </c>
      <c r="M35" s="7"/>
      <c r="N35" s="973" t="s">
        <v>15</v>
      </c>
      <c r="O35" s="1036"/>
    </row>
    <row r="36" spans="1:22" ht="13.5" customHeight="1">
      <c r="A36" s="124" t="s">
        <v>152</v>
      </c>
      <c r="B36" s="119"/>
      <c r="C36" s="102" t="s">
        <v>150</v>
      </c>
      <c r="D36" s="122"/>
      <c r="E36" s="7"/>
      <c r="F36" s="122"/>
      <c r="G36" s="7"/>
      <c r="H36" s="122"/>
      <c r="I36" s="7"/>
      <c r="J36" s="122"/>
      <c r="K36" s="7"/>
      <c r="L36" s="122"/>
      <c r="M36" s="7"/>
      <c r="N36" s="977"/>
      <c r="O36" s="996"/>
    </row>
    <row r="37" spans="1:22">
      <c r="A37" s="124" t="s">
        <v>252</v>
      </c>
      <c r="B37" s="351"/>
      <c r="C37" s="102" t="s">
        <v>253</v>
      </c>
      <c r="D37" s="100"/>
      <c r="E37" s="7"/>
      <c r="F37" s="100"/>
      <c r="G37" s="123"/>
      <c r="H37" s="100"/>
      <c r="I37" s="7"/>
      <c r="J37" s="100"/>
      <c r="K37" s="123"/>
      <c r="L37" s="100"/>
      <c r="M37" s="123"/>
      <c r="N37" s="975"/>
      <c r="O37" s="1033"/>
    </row>
    <row r="38" spans="1:22">
      <c r="A38" s="124" t="s">
        <v>153</v>
      </c>
      <c r="B38" s="119"/>
      <c r="C38" s="102" t="s">
        <v>151</v>
      </c>
      <c r="D38" s="122"/>
      <c r="E38" s="7"/>
      <c r="F38" s="122"/>
      <c r="G38" s="7"/>
      <c r="H38" s="122"/>
      <c r="I38" s="7"/>
      <c r="J38" s="122"/>
      <c r="K38" s="7"/>
      <c r="L38" s="122"/>
      <c r="M38" s="105"/>
      <c r="N38" s="977"/>
      <c r="O38" s="996"/>
    </row>
    <row r="39" spans="1:22" ht="14.25" customHeight="1">
      <c r="A39" s="1325" t="s">
        <v>16</v>
      </c>
      <c r="B39" s="1326"/>
      <c r="C39" s="102"/>
      <c r="D39" s="109" t="s">
        <v>15</v>
      </c>
      <c r="E39" s="110">
        <f>SUM(E35:E38)</f>
        <v>0</v>
      </c>
      <c r="F39" s="109" t="s">
        <v>15</v>
      </c>
      <c r="G39" s="110">
        <f>SUM(G35:G38)</f>
        <v>0</v>
      </c>
      <c r="H39" s="109" t="s">
        <v>15</v>
      </c>
      <c r="I39" s="110">
        <f>SUM(I35:I38)</f>
        <v>0</v>
      </c>
      <c r="J39" s="109" t="s">
        <v>15</v>
      </c>
      <c r="K39" s="110">
        <f>SUM(K35:K38)</f>
        <v>0</v>
      </c>
      <c r="L39" s="109" t="s">
        <v>15</v>
      </c>
      <c r="M39" s="110">
        <f>SUM(M35:M38)</f>
        <v>0</v>
      </c>
      <c r="N39" s="977" t="s">
        <v>15</v>
      </c>
      <c r="O39" s="1033">
        <f>SUM(O35:O38)</f>
        <v>0</v>
      </c>
    </row>
    <row r="40" spans="1:22" ht="3" customHeight="1">
      <c r="A40" s="155"/>
      <c r="B40" s="147"/>
      <c r="C40" s="102"/>
      <c r="D40" s="120"/>
      <c r="E40" s="157"/>
      <c r="F40" s="120"/>
      <c r="G40" s="157"/>
      <c r="H40" s="120"/>
      <c r="I40" s="157"/>
      <c r="J40" s="120"/>
      <c r="K40" s="157"/>
      <c r="L40" s="120"/>
      <c r="M40" s="7"/>
      <c r="N40" s="969"/>
      <c r="O40" s="1035"/>
    </row>
    <row r="41" spans="1:22">
      <c r="A41" s="1336" t="s">
        <v>277</v>
      </c>
      <c r="B41" s="1337"/>
      <c r="C41" s="113"/>
      <c r="D41" s="125" t="s">
        <v>15</v>
      </c>
      <c r="E41" s="219">
        <f>E39+E32</f>
        <v>1113196.1299999999</v>
      </c>
      <c r="F41" s="125" t="s">
        <v>15</v>
      </c>
      <c r="G41" s="219">
        <f>G39+G32</f>
        <v>523495.12</v>
      </c>
      <c r="H41" s="125" t="s">
        <v>15</v>
      </c>
      <c r="I41" s="219">
        <f>I39+I32</f>
        <v>888604.88</v>
      </c>
      <c r="J41" s="125" t="s">
        <v>15</v>
      </c>
      <c r="K41" s="219">
        <f>K39+K32</f>
        <v>1412100</v>
      </c>
      <c r="L41" s="125" t="s">
        <v>15</v>
      </c>
      <c r="M41" s="126">
        <f>M39+M32</f>
        <v>1224600</v>
      </c>
      <c r="N41" s="981" t="s">
        <v>15</v>
      </c>
      <c r="O41" s="1044">
        <f>O39+O32</f>
        <v>-187500</v>
      </c>
    </row>
    <row r="42" spans="1:22" ht="16.5" customHeight="1">
      <c r="A42" s="62" t="s">
        <v>1623</v>
      </c>
      <c r="B42" s="147"/>
      <c r="C42" s="148"/>
      <c r="D42" s="149"/>
      <c r="E42" s="175"/>
      <c r="F42" s="149"/>
      <c r="G42" s="175"/>
      <c r="H42" s="149"/>
      <c r="I42" s="175"/>
      <c r="J42" s="149"/>
      <c r="K42" s="175"/>
      <c r="L42" s="149"/>
      <c r="M42" s="175"/>
      <c r="N42" s="1002"/>
      <c r="O42" s="1039"/>
    </row>
    <row r="43" spans="1:22" ht="6.75" customHeight="1">
      <c r="A43" s="147"/>
      <c r="B43" s="147"/>
      <c r="C43" s="148"/>
      <c r="D43" s="149"/>
      <c r="E43" s="175"/>
      <c r="F43" s="149"/>
      <c r="G43" s="175"/>
      <c r="H43" s="149"/>
      <c r="I43" s="175"/>
      <c r="J43" s="149"/>
      <c r="K43" s="175"/>
      <c r="L43" s="149"/>
      <c r="M43" s="175"/>
      <c r="N43" s="1002"/>
      <c r="O43" s="1039"/>
    </row>
    <row r="44" spans="1:22" s="127" customFormat="1">
      <c r="A44" s="127" t="s">
        <v>187</v>
      </c>
      <c r="C44" s="128" t="s">
        <v>188</v>
      </c>
      <c r="F44" s="129"/>
      <c r="I44" s="127" t="s">
        <v>190</v>
      </c>
      <c r="L44" s="129"/>
      <c r="N44" s="964"/>
      <c r="O44" s="985"/>
      <c r="P44" s="964"/>
      <c r="Q44" s="985"/>
      <c r="R44" s="1009"/>
      <c r="S44" s="130"/>
      <c r="T44" s="130"/>
      <c r="U44" s="130"/>
      <c r="V44" s="130"/>
    </row>
    <row r="47" spans="1:22" ht="15" customHeight="1">
      <c r="B47" s="185"/>
      <c r="F47" s="185"/>
      <c r="G47" s="185"/>
      <c r="H47" s="185"/>
      <c r="I47" s="185"/>
      <c r="J47" s="185"/>
      <c r="K47" s="185"/>
      <c r="L47" s="185"/>
      <c r="M47" s="185"/>
      <c r="N47" s="967"/>
      <c r="O47" s="967"/>
    </row>
    <row r="48" spans="1:22" s="89" customFormat="1">
      <c r="A48" s="1323" t="s">
        <v>1615</v>
      </c>
      <c r="B48" s="1323"/>
      <c r="C48" s="1323" t="s">
        <v>1584</v>
      </c>
      <c r="D48" s="1323"/>
      <c r="E48" s="1323"/>
      <c r="F48" s="1323"/>
      <c r="G48" s="1323"/>
      <c r="H48" s="131"/>
      <c r="I48" s="1323" t="str">
        <f>dilg!I44</f>
        <v>(Sgd.) ATTY. JOSE JOEL P. DOROMAL</v>
      </c>
      <c r="J48" s="1323"/>
      <c r="K48" s="1323"/>
      <c r="L48" s="1323"/>
      <c r="M48" s="1323"/>
      <c r="N48" s="967"/>
      <c r="O48" s="967"/>
      <c r="P48" s="965"/>
      <c r="Q48" s="965"/>
      <c r="R48" s="965"/>
    </row>
    <row r="49" spans="1:15">
      <c r="A49" s="1322" t="s">
        <v>1346</v>
      </c>
      <c r="B49" s="1322"/>
      <c r="C49" s="1322" t="s">
        <v>198</v>
      </c>
      <c r="D49" s="1322"/>
      <c r="E49" s="1322"/>
      <c r="F49" s="1322"/>
      <c r="G49" s="1322"/>
      <c r="I49" s="1322" t="s">
        <v>192</v>
      </c>
      <c r="J49" s="1322"/>
      <c r="K49" s="1322"/>
      <c r="L49" s="1322"/>
      <c r="M49" s="1322"/>
      <c r="N49" s="962"/>
      <c r="O49" s="962"/>
    </row>
  </sheetData>
  <sheetProtection algorithmName="SHA-512" hashValue="m6GVTO0h/90VwRPHvS7HjsU3nOSYgyY5FW4uVvF/fh0PGYUAyfwHWOIGrHUem8MDzkIgiQfgGwu7DQdX7jgVgA==" saltValue="nnsennN9d8BS+Nftb8hulA==" spinCount="100000" sheet="1" objects="1" scenarios="1"/>
  <mergeCells count="27">
    <mergeCell ref="N12:O14"/>
    <mergeCell ref="A4:M4"/>
    <mergeCell ref="A5:M5"/>
    <mergeCell ref="F8:M8"/>
    <mergeCell ref="F9:M9"/>
    <mergeCell ref="D12:E12"/>
    <mergeCell ref="F12:K12"/>
    <mergeCell ref="A41:B41"/>
    <mergeCell ref="A13:B13"/>
    <mergeCell ref="D13:E13"/>
    <mergeCell ref="F13:G13"/>
    <mergeCell ref="L12:M12"/>
    <mergeCell ref="J13:K14"/>
    <mergeCell ref="A32:B32"/>
    <mergeCell ref="A39:B39"/>
    <mergeCell ref="L13:M13"/>
    <mergeCell ref="D14:E14"/>
    <mergeCell ref="F14:G14"/>
    <mergeCell ref="L14:M14"/>
    <mergeCell ref="H13:I13"/>
    <mergeCell ref="H14:I14"/>
    <mergeCell ref="A48:B48"/>
    <mergeCell ref="A49:B49"/>
    <mergeCell ref="C48:G48"/>
    <mergeCell ref="C49:G49"/>
    <mergeCell ref="I48:M48"/>
    <mergeCell ref="I49:M49"/>
  </mergeCells>
  <pageMargins left="0.2" right="0" top="1" bottom="1" header="0.5" footer="0.5"/>
  <pageSetup paperSize="14" orientation="portrait" verticalDpi="300" r:id="rId1"/>
  <headerFooter alignWithMargins="0">
    <oddHeader>&amp;RPage &amp;P of 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FF00"/>
  </sheetPr>
  <dimension ref="A1:V206"/>
  <sheetViews>
    <sheetView topLeftCell="A91" zoomScale="145" zoomScaleNormal="145" workbookViewId="0">
      <selection activeCell="N22" sqref="N22"/>
    </sheetView>
  </sheetViews>
  <sheetFormatPr defaultColWidth="9.140625" defaultRowHeight="13.5"/>
  <cols>
    <col min="1" max="1" width="10" style="86" customWidth="1"/>
    <col min="2" max="2" width="21" style="86" customWidth="1"/>
    <col min="3" max="3" width="8.85546875" style="86" customWidth="1"/>
    <col min="4" max="4" width="2.140625" style="87" customWidth="1"/>
    <col min="5" max="5" width="10.85546875" style="86" customWidth="1"/>
    <col min="6" max="6" width="2.140625" style="87" customWidth="1"/>
    <col min="7" max="7" width="11.85546875" style="86" customWidth="1"/>
    <col min="8" max="8" width="1.85546875" style="87" customWidth="1"/>
    <col min="9" max="9" width="11.140625" style="86" customWidth="1"/>
    <col min="10" max="10" width="2.140625" style="87" customWidth="1"/>
    <col min="11" max="11" width="10.5703125" style="86" customWidth="1"/>
    <col min="12" max="12" width="2.140625" style="87" customWidth="1"/>
    <col min="13" max="13" width="11" style="86" customWidth="1"/>
    <col min="14" max="14" width="2.140625" style="966" hidden="1" customWidth="1"/>
    <col min="15" max="15" width="11.140625" style="961" hidden="1" customWidth="1"/>
    <col min="16" max="16" width="11.140625" style="1086" hidden="1" customWidth="1"/>
    <col min="17" max="17" width="10.28515625" style="961" customWidth="1"/>
    <col min="18" max="18" width="10.85546875" style="961" customWidth="1"/>
    <col min="19" max="16384" width="9.140625" style="86"/>
  </cols>
  <sheetData>
    <row r="1" spans="1:20">
      <c r="A1" s="86" t="s">
        <v>186</v>
      </c>
    </row>
    <row r="2" spans="1:20" ht="3.75" customHeight="1"/>
    <row r="3" spans="1:20" ht="12.75" customHeight="1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986"/>
      <c r="O3" s="986"/>
      <c r="P3" s="1087"/>
      <c r="Q3" s="962"/>
      <c r="R3" s="962"/>
      <c r="S3" s="88"/>
      <c r="T3" s="88"/>
    </row>
    <row r="4" spans="1:20" ht="11.25" customHeight="1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986"/>
      <c r="O4" s="986"/>
      <c r="P4" s="1087"/>
      <c r="Q4" s="962"/>
      <c r="R4" s="962"/>
      <c r="S4" s="88"/>
      <c r="T4" s="88"/>
    </row>
    <row r="5" spans="1:20" ht="6.75" customHeight="1"/>
    <row r="6" spans="1:20">
      <c r="A6" s="89" t="s">
        <v>85</v>
      </c>
      <c r="B6" s="90" t="s">
        <v>452</v>
      </c>
      <c r="C6" s="90"/>
    </row>
    <row r="7" spans="1:20" ht="13.5" hidden="1" customHeight="1">
      <c r="A7" s="86" t="s">
        <v>2</v>
      </c>
      <c r="B7" s="91" t="s">
        <v>453</v>
      </c>
      <c r="C7" s="91"/>
      <c r="F7" s="804"/>
      <c r="G7" s="804"/>
      <c r="H7" s="804"/>
      <c r="I7" s="804"/>
      <c r="J7" s="804"/>
      <c r="K7" s="804"/>
      <c r="L7" s="804"/>
      <c r="M7" s="804"/>
      <c r="N7" s="1034"/>
      <c r="O7" s="1034"/>
      <c r="P7" s="1088"/>
    </row>
    <row r="8" spans="1:20" ht="13.5" hidden="1" customHeight="1">
      <c r="A8" s="86" t="s">
        <v>3</v>
      </c>
      <c r="B8" s="91" t="s">
        <v>454</v>
      </c>
      <c r="C8" s="91"/>
      <c r="F8" s="133"/>
      <c r="G8" s="133"/>
      <c r="H8" s="133"/>
      <c r="I8" s="133"/>
      <c r="J8" s="133"/>
      <c r="K8" s="133"/>
      <c r="L8" s="133"/>
      <c r="M8" s="133"/>
      <c r="N8" s="987"/>
      <c r="O8" s="987"/>
      <c r="P8" s="1089"/>
    </row>
    <row r="9" spans="1:20" ht="13.5" hidden="1" customHeight="1">
      <c r="A9" s="86" t="s">
        <v>4</v>
      </c>
      <c r="B9" s="91" t="s">
        <v>404</v>
      </c>
      <c r="C9" s="91"/>
    </row>
    <row r="10" spans="1:20" ht="7.5" customHeight="1">
      <c r="B10" s="92"/>
      <c r="C10" s="92"/>
    </row>
    <row r="11" spans="1:20">
      <c r="A11" s="93"/>
      <c r="B11" s="94"/>
      <c r="C11" s="2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328" t="s">
        <v>494</v>
      </c>
      <c r="O11" s="1329"/>
      <c r="P11" s="1090"/>
    </row>
    <row r="12" spans="1:20" ht="11.25" customHeight="1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330"/>
      <c r="O12" s="1331"/>
      <c r="P12" s="1090"/>
    </row>
    <row r="13" spans="1:20" ht="12" customHeight="1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332"/>
      <c r="O13" s="1333"/>
      <c r="P13" s="1090"/>
    </row>
    <row r="14" spans="1:20" ht="12.6" customHeight="1">
      <c r="A14" s="97" t="s">
        <v>281</v>
      </c>
      <c r="B14" s="98"/>
      <c r="C14" s="99"/>
      <c r="D14" s="100"/>
      <c r="E14" s="7"/>
      <c r="F14" s="100"/>
      <c r="G14" s="7"/>
      <c r="H14" s="100"/>
      <c r="I14" s="7"/>
      <c r="J14" s="100"/>
      <c r="K14" s="7"/>
      <c r="L14" s="100"/>
      <c r="M14" s="7"/>
      <c r="N14" s="971"/>
      <c r="O14" s="1035"/>
      <c r="P14" s="991"/>
    </row>
    <row r="15" spans="1:20" ht="12.6" customHeight="1">
      <c r="A15" s="101" t="s">
        <v>262</v>
      </c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  <c r="N15" s="971"/>
      <c r="O15" s="1035"/>
      <c r="P15" s="991"/>
    </row>
    <row r="16" spans="1:20" ht="12.6" customHeight="1">
      <c r="A16" s="101" t="s">
        <v>263</v>
      </c>
      <c r="B16" s="98"/>
      <c r="C16" s="102" t="s">
        <v>114</v>
      </c>
      <c r="D16" s="100" t="s">
        <v>15</v>
      </c>
      <c r="E16" s="7">
        <v>6287551</v>
      </c>
      <c r="F16" s="100" t="s">
        <v>15</v>
      </c>
      <c r="G16" s="7">
        <v>3176587.5</v>
      </c>
      <c r="H16" s="100" t="s">
        <v>15</v>
      </c>
      <c r="I16" s="7">
        <f>K16-G16</f>
        <v>4605808.5</v>
      </c>
      <c r="J16" s="100" t="s">
        <v>15</v>
      </c>
      <c r="K16" s="7">
        <v>7782396</v>
      </c>
      <c r="L16" s="100" t="s">
        <v>15</v>
      </c>
      <c r="M16" s="7">
        <v>7992888</v>
      </c>
      <c r="N16" s="973" t="s">
        <v>15</v>
      </c>
      <c r="O16" s="1036">
        <v>0</v>
      </c>
      <c r="P16" s="991"/>
    </row>
    <row r="17" spans="1:16" ht="12.6" customHeight="1">
      <c r="A17" s="101" t="s">
        <v>264</v>
      </c>
      <c r="B17" s="98"/>
      <c r="C17" s="102" t="s">
        <v>115</v>
      </c>
      <c r="D17" s="100"/>
      <c r="E17" s="7">
        <v>3059040.24</v>
      </c>
      <c r="F17" s="100"/>
      <c r="G17" s="7">
        <v>2488128.87</v>
      </c>
      <c r="H17" s="100"/>
      <c r="I17" s="7">
        <f t="shared" ref="I17:I33" si="0">K17-G17</f>
        <v>3172187.13</v>
      </c>
      <c r="J17" s="100"/>
      <c r="K17" s="7">
        <v>5660316</v>
      </c>
      <c r="L17" s="100"/>
      <c r="M17" s="7">
        <v>5543376</v>
      </c>
      <c r="N17" s="975"/>
      <c r="O17" s="996">
        <v>0</v>
      </c>
      <c r="P17" s="991"/>
    </row>
    <row r="18" spans="1:16" ht="12.6" customHeight="1">
      <c r="A18" s="101" t="s">
        <v>265</v>
      </c>
      <c r="B18" s="98"/>
      <c r="C18" s="102"/>
      <c r="D18" s="100"/>
      <c r="E18" s="7"/>
      <c r="F18" s="100"/>
      <c r="G18" s="7"/>
      <c r="H18" s="100"/>
      <c r="I18" s="7"/>
      <c r="J18" s="100"/>
      <c r="K18" s="7"/>
      <c r="L18" s="100"/>
      <c r="M18" s="7"/>
      <c r="N18" s="975"/>
      <c r="O18" s="996"/>
      <c r="P18" s="991"/>
    </row>
    <row r="19" spans="1:16" ht="12.6" customHeight="1">
      <c r="A19" s="101" t="s">
        <v>266</v>
      </c>
      <c r="B19" s="98"/>
      <c r="C19" s="102" t="s">
        <v>116</v>
      </c>
      <c r="D19" s="100"/>
      <c r="E19" s="7">
        <v>781094.61</v>
      </c>
      <c r="F19" s="100"/>
      <c r="G19" s="7">
        <v>459716.38</v>
      </c>
      <c r="H19" s="100"/>
      <c r="I19" s="7">
        <f t="shared" si="0"/>
        <v>620283.62</v>
      </c>
      <c r="J19" s="100"/>
      <c r="K19" s="7">
        <v>1080000</v>
      </c>
      <c r="L19" s="100"/>
      <c r="M19" s="7">
        <v>1128000</v>
      </c>
      <c r="N19" s="975"/>
      <c r="O19" s="996">
        <v>0</v>
      </c>
      <c r="P19" s="991"/>
    </row>
    <row r="20" spans="1:16" ht="12.6" customHeight="1">
      <c r="A20" s="101" t="s">
        <v>267</v>
      </c>
      <c r="B20" s="98"/>
      <c r="C20" s="102" t="s">
        <v>117</v>
      </c>
      <c r="D20" s="100"/>
      <c r="E20" s="7">
        <v>81000</v>
      </c>
      <c r="F20" s="100"/>
      <c r="G20" s="7">
        <v>40500</v>
      </c>
      <c r="H20" s="100"/>
      <c r="I20" s="7">
        <f t="shared" si="0"/>
        <v>100500</v>
      </c>
      <c r="J20" s="100"/>
      <c r="K20" s="7">
        <v>141000</v>
      </c>
      <c r="L20" s="100"/>
      <c r="M20" s="7">
        <v>81000</v>
      </c>
      <c r="N20" s="975"/>
      <c r="O20" s="996">
        <v>0</v>
      </c>
      <c r="P20" s="991"/>
    </row>
    <row r="21" spans="1:16" ht="12.6" customHeight="1">
      <c r="A21" s="101" t="s">
        <v>268</v>
      </c>
      <c r="B21" s="106"/>
      <c r="C21" s="102" t="s">
        <v>118</v>
      </c>
      <c r="D21" s="100"/>
      <c r="E21" s="7">
        <v>81000</v>
      </c>
      <c r="F21" s="100"/>
      <c r="G21" s="7">
        <v>40500</v>
      </c>
      <c r="H21" s="100"/>
      <c r="I21" s="7">
        <f t="shared" si="0"/>
        <v>100500</v>
      </c>
      <c r="J21" s="100"/>
      <c r="K21" s="7">
        <v>141000</v>
      </c>
      <c r="L21" s="100"/>
      <c r="M21" s="7">
        <v>81000</v>
      </c>
      <c r="N21" s="975"/>
      <c r="O21" s="996">
        <v>0</v>
      </c>
      <c r="P21" s="991"/>
    </row>
    <row r="22" spans="1:16" ht="12.6" customHeight="1">
      <c r="A22" s="101" t="s">
        <v>269</v>
      </c>
      <c r="B22" s="106"/>
      <c r="C22" s="102" t="s">
        <v>119</v>
      </c>
      <c r="D22" s="100"/>
      <c r="E22" s="7">
        <v>204000</v>
      </c>
      <c r="F22" s="100"/>
      <c r="G22" s="7">
        <v>240000</v>
      </c>
      <c r="H22" s="100"/>
      <c r="I22" s="7">
        <f t="shared" si="0"/>
        <v>30000</v>
      </c>
      <c r="J22" s="100"/>
      <c r="K22" s="7">
        <v>270000</v>
      </c>
      <c r="L22" s="100"/>
      <c r="M22" s="7">
        <v>282000</v>
      </c>
      <c r="N22" s="975"/>
      <c r="O22" s="996">
        <v>0</v>
      </c>
      <c r="P22" s="991"/>
    </row>
    <row r="23" spans="1:16" ht="12.6" customHeight="1">
      <c r="A23" s="101" t="s">
        <v>288</v>
      </c>
      <c r="B23" s="106"/>
      <c r="C23" s="102" t="s">
        <v>157</v>
      </c>
      <c r="D23" s="100"/>
      <c r="E23" s="7">
        <v>533600</v>
      </c>
      <c r="F23" s="100"/>
      <c r="G23" s="7">
        <v>313814.88</v>
      </c>
      <c r="H23" s="100"/>
      <c r="I23" s="7">
        <f t="shared" si="0"/>
        <v>496185.12</v>
      </c>
      <c r="J23" s="100"/>
      <c r="K23" s="7">
        <v>810000</v>
      </c>
      <c r="L23" s="100"/>
      <c r="M23" s="7">
        <v>846000</v>
      </c>
      <c r="N23" s="975"/>
      <c r="O23" s="996">
        <v>0</v>
      </c>
      <c r="P23" s="991"/>
    </row>
    <row r="24" spans="1:16" ht="12.6" customHeight="1">
      <c r="A24" s="101" t="s">
        <v>289</v>
      </c>
      <c r="B24" s="106"/>
      <c r="C24" s="102" t="s">
        <v>158</v>
      </c>
      <c r="D24" s="100"/>
      <c r="E24" s="7">
        <v>59400</v>
      </c>
      <c r="F24" s="100"/>
      <c r="G24" s="7">
        <v>34950</v>
      </c>
      <c r="H24" s="100"/>
      <c r="I24" s="7">
        <f t="shared" si="0"/>
        <v>46050</v>
      </c>
      <c r="J24" s="100"/>
      <c r="K24" s="7">
        <v>81000</v>
      </c>
      <c r="L24" s="100"/>
      <c r="M24" s="7">
        <v>84600</v>
      </c>
      <c r="N24" s="975"/>
      <c r="O24" s="996">
        <v>0</v>
      </c>
      <c r="P24" s="991"/>
    </row>
    <row r="25" spans="1:16" ht="12.6" customHeight="1">
      <c r="A25" s="101" t="s">
        <v>290</v>
      </c>
      <c r="B25" s="106"/>
      <c r="C25" s="102" t="s">
        <v>159</v>
      </c>
      <c r="D25" s="100"/>
      <c r="E25" s="7">
        <v>2117652.7599999998</v>
      </c>
      <c r="F25" s="100"/>
      <c r="G25" s="7">
        <v>1273320.8899999999</v>
      </c>
      <c r="H25" s="100"/>
      <c r="I25" s="7">
        <f t="shared" si="0"/>
        <v>1780179.11</v>
      </c>
      <c r="J25" s="100"/>
      <c r="K25" s="7">
        <v>3053500</v>
      </c>
      <c r="L25" s="100"/>
      <c r="M25" s="7">
        <v>3074026</v>
      </c>
      <c r="N25" s="975"/>
      <c r="O25" s="996">
        <v>0</v>
      </c>
      <c r="P25" s="991"/>
    </row>
    <row r="26" spans="1:16" ht="12.6" customHeight="1">
      <c r="A26" s="101" t="s">
        <v>270</v>
      </c>
      <c r="B26" s="106"/>
      <c r="C26" s="102" t="s">
        <v>120</v>
      </c>
      <c r="D26" s="100"/>
      <c r="E26" s="7">
        <v>169000</v>
      </c>
      <c r="F26" s="100"/>
      <c r="G26" s="7">
        <v>0</v>
      </c>
      <c r="H26" s="100"/>
      <c r="I26" s="7">
        <f t="shared" si="0"/>
        <v>225000</v>
      </c>
      <c r="J26" s="100"/>
      <c r="K26" s="7">
        <v>225000</v>
      </c>
      <c r="L26" s="100"/>
      <c r="M26" s="7">
        <v>235000</v>
      </c>
      <c r="N26" s="975"/>
      <c r="O26" s="996">
        <v>0</v>
      </c>
      <c r="P26" s="991"/>
    </row>
    <row r="27" spans="1:16" ht="12.6" customHeight="1">
      <c r="A27" s="101" t="s">
        <v>271</v>
      </c>
      <c r="B27" s="98"/>
      <c r="C27" s="102" t="s">
        <v>121</v>
      </c>
      <c r="D27" s="100"/>
      <c r="E27" s="7">
        <v>793624.26</v>
      </c>
      <c r="F27" s="100"/>
      <c r="G27" s="7">
        <v>0</v>
      </c>
      <c r="H27" s="100"/>
      <c r="I27" s="7">
        <f t="shared" si="0"/>
        <v>1120226</v>
      </c>
      <c r="J27" s="100"/>
      <c r="K27" s="7">
        <v>1120226</v>
      </c>
      <c r="L27" s="100"/>
      <c r="M27" s="7">
        <v>1128022</v>
      </c>
      <c r="N27" s="975"/>
      <c r="O27" s="996">
        <v>0</v>
      </c>
      <c r="P27" s="991"/>
    </row>
    <row r="28" spans="1:16" ht="12.6" customHeight="1">
      <c r="A28" s="101" t="s">
        <v>278</v>
      </c>
      <c r="B28" s="108"/>
      <c r="C28" s="102" t="s">
        <v>258</v>
      </c>
      <c r="D28" s="100"/>
      <c r="E28" s="7"/>
      <c r="F28" s="100"/>
      <c r="G28" s="7"/>
      <c r="H28" s="100"/>
      <c r="I28" s="7"/>
      <c r="J28" s="100"/>
      <c r="K28" s="7"/>
      <c r="L28" s="100"/>
      <c r="M28" s="7"/>
      <c r="N28" s="975"/>
      <c r="O28" s="996"/>
      <c r="P28" s="991"/>
    </row>
    <row r="29" spans="1:16" ht="12.6" customHeight="1">
      <c r="A29" s="101" t="s">
        <v>279</v>
      </c>
      <c r="B29" s="108"/>
      <c r="C29" s="102"/>
      <c r="D29" s="100"/>
      <c r="E29" s="7">
        <v>769575.76</v>
      </c>
      <c r="F29" s="100"/>
      <c r="G29" s="7">
        <v>961837.78</v>
      </c>
      <c r="H29" s="100"/>
      <c r="I29" s="7">
        <f>K29-G29</f>
        <v>158388.21999999997</v>
      </c>
      <c r="J29" s="100"/>
      <c r="K29" s="7">
        <v>1120226</v>
      </c>
      <c r="L29" s="100"/>
      <c r="M29" s="7">
        <v>1128022</v>
      </c>
      <c r="N29" s="975"/>
      <c r="O29" s="996">
        <v>0</v>
      </c>
      <c r="P29" s="991"/>
    </row>
    <row r="30" spans="1:16" ht="12.6" customHeight="1">
      <c r="A30" s="101" t="s">
        <v>280</v>
      </c>
      <c r="B30" s="108"/>
      <c r="C30" s="102"/>
      <c r="D30" s="100"/>
      <c r="E30" s="7">
        <v>0</v>
      </c>
      <c r="F30" s="100"/>
      <c r="G30" s="7">
        <v>93000</v>
      </c>
      <c r="H30" s="100"/>
      <c r="I30" s="7">
        <f>K30-G30</f>
        <v>42000</v>
      </c>
      <c r="J30" s="100"/>
      <c r="K30" s="7">
        <v>135000</v>
      </c>
      <c r="L30" s="100"/>
      <c r="M30" s="7">
        <v>0</v>
      </c>
      <c r="N30" s="975"/>
      <c r="O30" s="996">
        <v>0</v>
      </c>
      <c r="P30" s="991"/>
    </row>
    <row r="31" spans="1:16" ht="12.6" customHeight="1">
      <c r="A31" s="101" t="s">
        <v>272</v>
      </c>
      <c r="B31" s="98"/>
      <c r="C31" s="102" t="s">
        <v>122</v>
      </c>
      <c r="D31" s="100"/>
      <c r="E31" s="7">
        <v>1118155.33</v>
      </c>
      <c r="F31" s="100"/>
      <c r="G31" s="7">
        <v>685475.12</v>
      </c>
      <c r="H31" s="100"/>
      <c r="I31" s="7">
        <f t="shared" si="0"/>
        <v>927650.88</v>
      </c>
      <c r="J31" s="100"/>
      <c r="K31" s="7">
        <v>1613126</v>
      </c>
      <c r="L31" s="100"/>
      <c r="M31" s="7">
        <v>1624352</v>
      </c>
      <c r="N31" s="975"/>
      <c r="O31" s="996">
        <v>0</v>
      </c>
      <c r="P31" s="991"/>
    </row>
    <row r="32" spans="1:16" ht="12.6" customHeight="1">
      <c r="A32" s="101" t="s">
        <v>273</v>
      </c>
      <c r="B32" s="98"/>
      <c r="C32" s="102" t="s">
        <v>123</v>
      </c>
      <c r="D32" s="100"/>
      <c r="E32" s="7">
        <v>185646.38</v>
      </c>
      <c r="F32" s="100"/>
      <c r="G32" s="7">
        <v>35969.24</v>
      </c>
      <c r="H32" s="100"/>
      <c r="I32" s="7">
        <f t="shared" si="0"/>
        <v>233118.76</v>
      </c>
      <c r="J32" s="100"/>
      <c r="K32" s="7">
        <v>269088</v>
      </c>
      <c r="L32" s="100"/>
      <c r="M32" s="7">
        <v>56400</v>
      </c>
      <c r="N32" s="975"/>
      <c r="O32" s="996">
        <v>0</v>
      </c>
      <c r="P32" s="991"/>
    </row>
    <row r="33" spans="1:18" ht="12.6" customHeight="1">
      <c r="A33" s="101" t="s">
        <v>274</v>
      </c>
      <c r="B33" s="98"/>
      <c r="C33" s="102" t="s">
        <v>124</v>
      </c>
      <c r="D33" s="100"/>
      <c r="E33" s="7">
        <v>133041.79</v>
      </c>
      <c r="F33" s="100"/>
      <c r="G33" s="7">
        <v>86081.32</v>
      </c>
      <c r="H33" s="100"/>
      <c r="I33" s="7">
        <f t="shared" si="0"/>
        <v>178818.68</v>
      </c>
      <c r="J33" s="100"/>
      <c r="K33" s="7">
        <v>264900</v>
      </c>
      <c r="L33" s="100"/>
      <c r="M33" s="7">
        <v>302436</v>
      </c>
      <c r="N33" s="975"/>
      <c r="O33" s="996">
        <v>0</v>
      </c>
      <c r="P33" s="991"/>
    </row>
    <row r="34" spans="1:18" ht="12.6" customHeight="1">
      <c r="A34" s="101" t="s">
        <v>275</v>
      </c>
      <c r="B34" s="98"/>
      <c r="C34" s="102" t="s">
        <v>125</v>
      </c>
      <c r="D34" s="100"/>
      <c r="E34" s="7">
        <v>40000</v>
      </c>
      <c r="F34" s="100"/>
      <c r="G34" s="7">
        <v>23900</v>
      </c>
      <c r="H34" s="100"/>
      <c r="I34" s="7">
        <f>K34-G34</f>
        <v>30100</v>
      </c>
      <c r="J34" s="100"/>
      <c r="K34" s="7">
        <v>54000</v>
      </c>
      <c r="L34" s="100"/>
      <c r="M34" s="7">
        <v>56400</v>
      </c>
      <c r="N34" s="975"/>
      <c r="O34" s="996">
        <v>0</v>
      </c>
      <c r="P34" s="991"/>
    </row>
    <row r="35" spans="1:18" ht="12.6" customHeight="1">
      <c r="A35" s="101" t="s">
        <v>276</v>
      </c>
      <c r="B35" s="108"/>
      <c r="C35" s="102" t="s">
        <v>161</v>
      </c>
      <c r="D35" s="100"/>
      <c r="E35" s="7"/>
      <c r="F35" s="100"/>
      <c r="G35" s="7"/>
      <c r="H35" s="100"/>
      <c r="I35" s="7"/>
      <c r="J35" s="100"/>
      <c r="K35" s="7"/>
      <c r="L35" s="100"/>
      <c r="M35" s="7"/>
      <c r="N35" s="975"/>
      <c r="O35" s="996"/>
      <c r="P35" s="991"/>
    </row>
    <row r="36" spans="1:18" ht="12.6" customHeight="1">
      <c r="A36" s="101" t="s">
        <v>292</v>
      </c>
      <c r="B36" s="108"/>
      <c r="C36" s="102"/>
      <c r="D36" s="100"/>
      <c r="E36" s="7">
        <v>0</v>
      </c>
      <c r="F36" s="100"/>
      <c r="G36" s="7">
        <v>0</v>
      </c>
      <c r="H36" s="100"/>
      <c r="I36" s="7">
        <f>K36-G36</f>
        <v>0</v>
      </c>
      <c r="J36" s="100"/>
      <c r="K36" s="7">
        <v>0</v>
      </c>
      <c r="L36" s="100"/>
      <c r="M36" s="7">
        <v>846518</v>
      </c>
      <c r="N36" s="975"/>
      <c r="O36" s="996">
        <v>0</v>
      </c>
      <c r="P36" s="991"/>
    </row>
    <row r="37" spans="1:18" ht="12.6" customHeight="1">
      <c r="A37" s="101" t="s">
        <v>260</v>
      </c>
      <c r="B37" s="108"/>
      <c r="C37" s="102"/>
      <c r="D37" s="100"/>
      <c r="E37" s="7">
        <v>167500</v>
      </c>
      <c r="F37" s="100"/>
      <c r="G37" s="7">
        <v>0</v>
      </c>
      <c r="H37" s="100"/>
      <c r="I37" s="7">
        <f>K37-G37</f>
        <v>225000</v>
      </c>
      <c r="J37" s="100"/>
      <c r="K37" s="7">
        <v>225000</v>
      </c>
      <c r="L37" s="100"/>
      <c r="M37" s="7">
        <v>235000</v>
      </c>
      <c r="N37" s="975"/>
      <c r="O37" s="996">
        <v>0</v>
      </c>
      <c r="P37" s="991"/>
    </row>
    <row r="38" spans="1:18" ht="12.6" customHeight="1">
      <c r="A38" s="101" t="s">
        <v>764</v>
      </c>
      <c r="B38" s="108"/>
      <c r="C38" s="102"/>
      <c r="D38" s="100"/>
      <c r="E38" s="7">
        <v>0</v>
      </c>
      <c r="F38" s="100"/>
      <c r="G38" s="7">
        <v>0</v>
      </c>
      <c r="H38" s="100"/>
      <c r="I38" s="7">
        <f>K38-G38</f>
        <v>593854</v>
      </c>
      <c r="J38" s="100"/>
      <c r="K38" s="7">
        <v>593854</v>
      </c>
      <c r="L38" s="100"/>
      <c r="M38" s="7">
        <v>0</v>
      </c>
      <c r="N38" s="975"/>
      <c r="O38" s="996">
        <v>0</v>
      </c>
      <c r="P38" s="991"/>
    </row>
    <row r="39" spans="1:18" ht="12.6" customHeight="1">
      <c r="A39" s="101" t="s">
        <v>259</v>
      </c>
      <c r="B39" s="108"/>
      <c r="C39" s="102"/>
      <c r="D39" s="100"/>
      <c r="E39" s="7">
        <v>15000</v>
      </c>
      <c r="F39" s="100"/>
      <c r="G39" s="7">
        <v>0</v>
      </c>
      <c r="H39" s="100"/>
      <c r="I39" s="7">
        <f>K39-G39</f>
        <v>0</v>
      </c>
      <c r="J39" s="100"/>
      <c r="K39" s="105">
        <v>0</v>
      </c>
      <c r="L39" s="104"/>
      <c r="M39" s="105">
        <v>50000</v>
      </c>
      <c r="N39" s="975"/>
      <c r="O39" s="996">
        <v>0</v>
      </c>
      <c r="P39" s="991"/>
    </row>
    <row r="40" spans="1:18" ht="12.6" customHeight="1">
      <c r="A40" s="1325" t="s">
        <v>14</v>
      </c>
      <c r="B40" s="1326"/>
      <c r="C40" s="102"/>
      <c r="D40" s="144" t="s">
        <v>15</v>
      </c>
      <c r="E40" s="174">
        <f>SUM(E16:E39)</f>
        <v>16595882.129999999</v>
      </c>
      <c r="F40" s="144" t="s">
        <v>15</v>
      </c>
      <c r="G40" s="174">
        <f>SUM(G16:G39)</f>
        <v>9953781.9799999986</v>
      </c>
      <c r="H40" s="144" t="s">
        <v>15</v>
      </c>
      <c r="I40" s="174">
        <f>SUM(I16:I39)</f>
        <v>14685850.02</v>
      </c>
      <c r="J40" s="144" t="s">
        <v>15</v>
      </c>
      <c r="K40" s="174">
        <f>SUM(K16:K39)</f>
        <v>24639632</v>
      </c>
      <c r="L40" s="144" t="s">
        <v>15</v>
      </c>
      <c r="M40" s="174">
        <f>SUM(M16:M39)</f>
        <v>24775040</v>
      </c>
      <c r="N40" s="997" t="s">
        <v>15</v>
      </c>
      <c r="O40" s="1037">
        <f>SUM(O16:O39)</f>
        <v>0</v>
      </c>
      <c r="P40" s="1091"/>
    </row>
    <row r="41" spans="1:18" ht="12.6" customHeight="1">
      <c r="A41" s="97" t="s">
        <v>282</v>
      </c>
      <c r="B41" s="98"/>
      <c r="C41" s="102"/>
      <c r="D41" s="120"/>
      <c r="E41" s="117"/>
      <c r="F41" s="120"/>
      <c r="G41" s="117"/>
      <c r="H41" s="120"/>
      <c r="I41" s="117"/>
      <c r="J41" s="120"/>
      <c r="K41" s="117"/>
      <c r="L41" s="120"/>
      <c r="M41" s="117"/>
      <c r="N41" s="969"/>
      <c r="O41" s="970"/>
      <c r="P41" s="991" t="s">
        <v>1163</v>
      </c>
    </row>
    <row r="42" spans="1:18" ht="12.6" customHeight="1">
      <c r="A42" s="101" t="s">
        <v>41</v>
      </c>
      <c r="B42" s="98"/>
      <c r="C42" s="102" t="s">
        <v>126</v>
      </c>
      <c r="D42" s="100" t="s">
        <v>15</v>
      </c>
      <c r="E42" s="7">
        <v>227215</v>
      </c>
      <c r="F42" s="100" t="s">
        <v>15</v>
      </c>
      <c r="G42" s="7">
        <v>158623</v>
      </c>
      <c r="H42" s="100" t="s">
        <v>15</v>
      </c>
      <c r="I42" s="7">
        <f>K42-G42</f>
        <v>450997</v>
      </c>
      <c r="J42" s="100" t="s">
        <v>15</v>
      </c>
      <c r="K42" s="7">
        <v>609620</v>
      </c>
      <c r="L42" s="100" t="s">
        <v>15</v>
      </c>
      <c r="M42" s="7">
        <v>609620</v>
      </c>
      <c r="N42" s="973" t="s">
        <v>15</v>
      </c>
      <c r="O42" s="1036">
        <f>M42-K42</f>
        <v>0</v>
      </c>
      <c r="P42" s="991">
        <f>10000+5000+5000+10000+5000+5000+5000</f>
        <v>45000</v>
      </c>
      <c r="Q42" s="963">
        <f t="shared" ref="Q42:Q50" si="1">K42*0.1</f>
        <v>60962</v>
      </c>
      <c r="R42" s="963">
        <f t="shared" ref="R42:R50" si="2">K42+Q42</f>
        <v>670582</v>
      </c>
    </row>
    <row r="43" spans="1:18" ht="12.6" customHeight="1">
      <c r="A43" s="101" t="s">
        <v>42</v>
      </c>
      <c r="B43" s="98"/>
      <c r="C43" s="102" t="s">
        <v>127</v>
      </c>
      <c r="D43" s="100"/>
      <c r="E43" s="7">
        <v>8303</v>
      </c>
      <c r="F43" s="100"/>
      <c r="G43" s="7">
        <v>31736</v>
      </c>
      <c r="H43" s="100"/>
      <c r="I43" s="7">
        <f t="shared" ref="I43:I49" si="3">K43-G43</f>
        <v>461506</v>
      </c>
      <c r="J43" s="100"/>
      <c r="K43" s="7">
        <v>493242</v>
      </c>
      <c r="L43" s="100"/>
      <c r="M43" s="7">
        <v>543242</v>
      </c>
      <c r="N43" s="975"/>
      <c r="O43" s="1036">
        <f t="shared" ref="O43:O55" si="4">M43-K43</f>
        <v>50000</v>
      </c>
      <c r="P43" s="991">
        <f>40000+10000+10000+40000+20000+10000+25000+10000</f>
        <v>165000</v>
      </c>
      <c r="Q43" s="963">
        <f t="shared" si="1"/>
        <v>49324.200000000004</v>
      </c>
      <c r="R43" s="963">
        <f t="shared" si="2"/>
        <v>542566.19999999995</v>
      </c>
    </row>
    <row r="44" spans="1:18" ht="12.6" customHeight="1">
      <c r="A44" s="101" t="s">
        <v>28</v>
      </c>
      <c r="B44" s="98"/>
      <c r="C44" s="102" t="s">
        <v>128</v>
      </c>
      <c r="D44" s="100"/>
      <c r="E44" s="7">
        <v>92307.6</v>
      </c>
      <c r="F44" s="100"/>
      <c r="G44" s="7">
        <v>4900</v>
      </c>
      <c r="H44" s="100"/>
      <c r="I44" s="7">
        <f>K44-G44</f>
        <v>218600</v>
      </c>
      <c r="J44" s="100"/>
      <c r="K44" s="7">
        <v>223500</v>
      </c>
      <c r="L44" s="100"/>
      <c r="M44" s="7">
        <v>200000</v>
      </c>
      <c r="N44" s="975"/>
      <c r="O44" s="1036">
        <f t="shared" si="4"/>
        <v>-23500</v>
      </c>
      <c r="P44" s="991">
        <f>10000+5000+2000+25000</f>
        <v>42000</v>
      </c>
      <c r="Q44" s="963">
        <f t="shared" si="1"/>
        <v>22350</v>
      </c>
      <c r="R44" s="963">
        <f t="shared" si="2"/>
        <v>245850</v>
      </c>
    </row>
    <row r="45" spans="1:18" ht="12.6" customHeight="1">
      <c r="A45" s="101" t="s">
        <v>1</v>
      </c>
      <c r="B45" s="98"/>
      <c r="C45" s="102" t="s">
        <v>173</v>
      </c>
      <c r="D45" s="100"/>
      <c r="E45" s="7">
        <v>671848.21</v>
      </c>
      <c r="F45" s="100"/>
      <c r="G45" s="7">
        <v>647393</v>
      </c>
      <c r="H45" s="100"/>
      <c r="I45" s="7">
        <f t="shared" si="3"/>
        <v>4416107</v>
      </c>
      <c r="J45" s="100"/>
      <c r="K45" s="7">
        <f>4995000+68500</f>
        <v>5063500</v>
      </c>
      <c r="L45" s="100"/>
      <c r="M45" s="7">
        <v>4154036</v>
      </c>
      <c r="N45" s="975"/>
      <c r="O45" s="1036">
        <f t="shared" si="4"/>
        <v>-909464</v>
      </c>
      <c r="P45" s="991">
        <f>10000+25000+150000+200000+50000+200000+250000+150000+25000+20000+80000+20000+200000+250000+300000+20000+20000+25000+20000+100000+200000+100000+300000+500000+200000+100000+68500</f>
        <v>3583500</v>
      </c>
      <c r="Q45" s="963">
        <f t="shared" si="1"/>
        <v>506350</v>
      </c>
      <c r="R45" s="963">
        <f t="shared" si="2"/>
        <v>5569850</v>
      </c>
    </row>
    <row r="46" spans="1:18" ht="12.6" customHeight="1">
      <c r="A46" s="101" t="s">
        <v>130</v>
      </c>
      <c r="B46" s="98"/>
      <c r="C46" s="102" t="s">
        <v>129</v>
      </c>
      <c r="D46" s="100"/>
      <c r="E46" s="7">
        <v>105000</v>
      </c>
      <c r="F46" s="100"/>
      <c r="G46" s="7">
        <v>98322</v>
      </c>
      <c r="H46" s="100"/>
      <c r="I46" s="7">
        <f t="shared" si="3"/>
        <v>197678</v>
      </c>
      <c r="J46" s="100"/>
      <c r="K46" s="7">
        <v>296000</v>
      </c>
      <c r="L46" s="100"/>
      <c r="M46" s="7">
        <v>500000</v>
      </c>
      <c r="N46" s="975"/>
      <c r="O46" s="1036">
        <f t="shared" si="4"/>
        <v>204000</v>
      </c>
      <c r="P46" s="991">
        <f>20000+5000+5000+3000+5000+5000+5000+5000+10000+10000+3000+5000+5000+5000+5000+5000</f>
        <v>101000</v>
      </c>
      <c r="Q46" s="963">
        <f t="shared" si="1"/>
        <v>29600</v>
      </c>
      <c r="R46" s="963">
        <f t="shared" si="2"/>
        <v>325600</v>
      </c>
    </row>
    <row r="47" spans="1:18" ht="12.6" customHeight="1">
      <c r="A47" s="101" t="s">
        <v>29</v>
      </c>
      <c r="B47" s="98"/>
      <c r="C47" s="102" t="s">
        <v>166</v>
      </c>
      <c r="D47" s="100"/>
      <c r="E47" s="7">
        <v>0</v>
      </c>
      <c r="F47" s="100"/>
      <c r="G47" s="7">
        <v>0</v>
      </c>
      <c r="H47" s="100"/>
      <c r="I47" s="7">
        <f t="shared" si="3"/>
        <v>0</v>
      </c>
      <c r="J47" s="100"/>
      <c r="K47" s="7">
        <v>0</v>
      </c>
      <c r="L47" s="100"/>
      <c r="M47" s="7">
        <v>0</v>
      </c>
      <c r="N47" s="975"/>
      <c r="O47" s="1036">
        <f t="shared" si="4"/>
        <v>0</v>
      </c>
      <c r="P47" s="991"/>
      <c r="Q47" s="963">
        <f t="shared" si="1"/>
        <v>0</v>
      </c>
      <c r="R47" s="963">
        <f t="shared" si="2"/>
        <v>0</v>
      </c>
    </row>
    <row r="48" spans="1:18" ht="12.6" customHeight="1">
      <c r="A48" s="101" t="s">
        <v>175</v>
      </c>
      <c r="B48" s="98"/>
      <c r="C48" s="102" t="s">
        <v>174</v>
      </c>
      <c r="D48" s="100"/>
      <c r="E48" s="7">
        <v>33839.980000000003</v>
      </c>
      <c r="F48" s="100"/>
      <c r="G48" s="7">
        <v>61818.2</v>
      </c>
      <c r="H48" s="100"/>
      <c r="I48" s="7">
        <f t="shared" si="3"/>
        <v>399181.8</v>
      </c>
      <c r="J48" s="100"/>
      <c r="K48" s="7">
        <v>461000</v>
      </c>
      <c r="L48" s="100"/>
      <c r="M48" s="7">
        <v>400000</v>
      </c>
      <c r="N48" s="975"/>
      <c r="O48" s="1036">
        <f t="shared" si="4"/>
        <v>-61000</v>
      </c>
      <c r="P48" s="991">
        <f>30000+5000+20000+20000+30000+10000+60000+5000+5000+5000+5000+2000+2000+2000+15000+5000+5000+7000+17000+500+5000+5000+2000+1000+1000+5000+2000+1000+1000+2000+5000+5000+5000+10000+1000+2000+5000+5000+30000+30000+10000+10000+5000+10000</f>
        <v>408500</v>
      </c>
      <c r="Q48" s="963">
        <f t="shared" si="1"/>
        <v>46100</v>
      </c>
      <c r="R48" s="963">
        <f t="shared" si="2"/>
        <v>507100</v>
      </c>
    </row>
    <row r="49" spans="1:18" ht="12.6" customHeight="1">
      <c r="A49" s="101" t="s">
        <v>163</v>
      </c>
      <c r="B49" s="98"/>
      <c r="C49" s="118" t="s">
        <v>133</v>
      </c>
      <c r="D49" s="100"/>
      <c r="E49" s="7">
        <v>19754</v>
      </c>
      <c r="F49" s="100"/>
      <c r="G49" s="7">
        <v>4000</v>
      </c>
      <c r="H49" s="100"/>
      <c r="I49" s="7">
        <f t="shared" si="3"/>
        <v>36000</v>
      </c>
      <c r="J49" s="100"/>
      <c r="K49" s="7">
        <v>40000</v>
      </c>
      <c r="L49" s="100"/>
      <c r="M49" s="7">
        <v>40000</v>
      </c>
      <c r="N49" s="975"/>
      <c r="O49" s="1036">
        <f t="shared" si="4"/>
        <v>0</v>
      </c>
      <c r="P49" s="991"/>
      <c r="Q49" s="963">
        <f t="shared" si="1"/>
        <v>4000</v>
      </c>
      <c r="R49" s="963">
        <f t="shared" si="2"/>
        <v>44000</v>
      </c>
    </row>
    <row r="50" spans="1:18" ht="12.6" customHeight="1">
      <c r="A50" s="101" t="s">
        <v>135</v>
      </c>
      <c r="B50" s="98"/>
      <c r="C50" s="102" t="s">
        <v>134</v>
      </c>
      <c r="D50" s="100"/>
      <c r="E50" s="7">
        <v>23797.99</v>
      </c>
      <c r="F50" s="100"/>
      <c r="G50" s="7">
        <v>10093.83</v>
      </c>
      <c r="H50" s="100"/>
      <c r="I50" s="7">
        <f t="shared" ref="I50:I66" si="5">K50-G50</f>
        <v>25906.17</v>
      </c>
      <c r="J50" s="100"/>
      <c r="K50" s="7">
        <v>36000</v>
      </c>
      <c r="L50" s="100"/>
      <c r="M50" s="7">
        <v>36000</v>
      </c>
      <c r="N50" s="975"/>
      <c r="O50" s="1036">
        <f t="shared" si="4"/>
        <v>0</v>
      </c>
      <c r="P50" s="991"/>
      <c r="Q50" s="963">
        <f t="shared" si="1"/>
        <v>3600</v>
      </c>
      <c r="R50" s="963">
        <f t="shared" si="2"/>
        <v>39600</v>
      </c>
    </row>
    <row r="51" spans="1:18">
      <c r="A51" s="101" t="s">
        <v>88</v>
      </c>
      <c r="B51" s="98"/>
      <c r="C51" s="102" t="s">
        <v>182</v>
      </c>
      <c r="D51" s="100"/>
      <c r="E51" s="7">
        <v>2550</v>
      </c>
      <c r="F51" s="100"/>
      <c r="G51" s="7">
        <v>2450</v>
      </c>
      <c r="H51" s="100"/>
      <c r="I51" s="7">
        <f t="shared" si="5"/>
        <v>11050</v>
      </c>
      <c r="J51" s="100"/>
      <c r="K51" s="7">
        <v>13500</v>
      </c>
      <c r="L51" s="100"/>
      <c r="M51" s="7">
        <v>13500</v>
      </c>
      <c r="N51" s="975"/>
      <c r="O51" s="1036">
        <f t="shared" si="4"/>
        <v>0</v>
      </c>
      <c r="P51" s="991"/>
    </row>
    <row r="52" spans="1:18" ht="12.75" customHeight="1">
      <c r="A52" s="101" t="s">
        <v>138</v>
      </c>
      <c r="B52" s="98"/>
      <c r="C52" s="102" t="s">
        <v>137</v>
      </c>
      <c r="D52" s="100"/>
      <c r="E52" s="7">
        <v>75900</v>
      </c>
      <c r="F52" s="100"/>
      <c r="G52" s="7">
        <v>4700</v>
      </c>
      <c r="H52" s="100"/>
      <c r="I52" s="7">
        <f t="shared" si="5"/>
        <v>246800</v>
      </c>
      <c r="J52" s="100"/>
      <c r="K52" s="7">
        <v>251500</v>
      </c>
      <c r="L52" s="100"/>
      <c r="M52" s="7">
        <v>200000</v>
      </c>
      <c r="N52" s="975"/>
      <c r="O52" s="1036">
        <f t="shared" si="4"/>
        <v>-51500</v>
      </c>
      <c r="P52" s="991">
        <f>30000+20000+30000+15000+5000+5000+20000</f>
        <v>125000</v>
      </c>
      <c r="Q52" s="963">
        <f t="shared" ref="Q52:Q57" si="6">K52*0.1</f>
        <v>25150</v>
      </c>
      <c r="R52" s="963">
        <f t="shared" ref="R52:R57" si="7">K52+Q52</f>
        <v>276650</v>
      </c>
    </row>
    <row r="53" spans="1:18" ht="12.6" customHeight="1">
      <c r="A53" s="101" t="s">
        <v>455</v>
      </c>
      <c r="B53" s="98"/>
      <c r="C53" s="118" t="s">
        <v>141</v>
      </c>
      <c r="D53" s="100"/>
      <c r="E53" s="7">
        <v>5995</v>
      </c>
      <c r="F53" s="100"/>
      <c r="G53" s="7">
        <v>5000</v>
      </c>
      <c r="H53" s="100"/>
      <c r="I53" s="7">
        <f t="shared" si="5"/>
        <v>76000</v>
      </c>
      <c r="J53" s="100"/>
      <c r="K53" s="7">
        <v>81000</v>
      </c>
      <c r="L53" s="100"/>
      <c r="M53" s="7">
        <v>100000</v>
      </c>
      <c r="N53" s="975"/>
      <c r="O53" s="1036">
        <f t="shared" si="4"/>
        <v>19000</v>
      </c>
      <c r="P53" s="991">
        <f>15000</f>
        <v>15000</v>
      </c>
      <c r="Q53" s="963">
        <f t="shared" si="6"/>
        <v>8100</v>
      </c>
      <c r="R53" s="963">
        <f t="shared" si="7"/>
        <v>89100</v>
      </c>
    </row>
    <row r="54" spans="1:18" ht="12.6" customHeight="1">
      <c r="A54" s="101" t="s">
        <v>177</v>
      </c>
      <c r="B54" s="98"/>
      <c r="C54" s="102" t="s">
        <v>176</v>
      </c>
      <c r="D54" s="100"/>
      <c r="E54" s="7">
        <v>0</v>
      </c>
      <c r="F54" s="100"/>
      <c r="G54" s="7">
        <v>0</v>
      </c>
      <c r="H54" s="100"/>
      <c r="I54" s="7">
        <f t="shared" ref="I54" si="8">K54-G54</f>
        <v>2050000</v>
      </c>
      <c r="J54" s="100"/>
      <c r="K54" s="7">
        <v>2050000</v>
      </c>
      <c r="L54" s="100"/>
      <c r="M54" s="7">
        <v>500000</v>
      </c>
      <c r="N54" s="975"/>
      <c r="O54" s="1036">
        <f t="shared" ref="O54" si="9">M54-K54</f>
        <v>-1550000</v>
      </c>
      <c r="P54" s="991">
        <f>800000+250000+250000+250000+500000</f>
        <v>2050000</v>
      </c>
      <c r="Q54" s="963">
        <f t="shared" si="6"/>
        <v>205000</v>
      </c>
      <c r="R54" s="963">
        <f t="shared" si="7"/>
        <v>2255000</v>
      </c>
    </row>
    <row r="55" spans="1:18" ht="12.6" customHeight="1">
      <c r="A55" s="101" t="s">
        <v>456</v>
      </c>
      <c r="B55" s="98"/>
      <c r="C55" s="102" t="s">
        <v>144</v>
      </c>
      <c r="D55" s="100"/>
      <c r="E55" s="7">
        <v>56450</v>
      </c>
      <c r="F55" s="100"/>
      <c r="G55" s="7">
        <v>127050</v>
      </c>
      <c r="H55" s="100"/>
      <c r="I55" s="7">
        <f t="shared" si="5"/>
        <v>114950</v>
      </c>
      <c r="J55" s="100"/>
      <c r="K55" s="7">
        <v>242000</v>
      </c>
      <c r="L55" s="100"/>
      <c r="M55" s="7">
        <v>242000</v>
      </c>
      <c r="N55" s="975"/>
      <c r="O55" s="1036">
        <f t="shared" si="4"/>
        <v>0</v>
      </c>
      <c r="P55" s="991"/>
      <c r="Q55" s="963">
        <f t="shared" si="6"/>
        <v>24200</v>
      </c>
      <c r="R55" s="963">
        <f t="shared" si="7"/>
        <v>266200</v>
      </c>
    </row>
    <row r="56" spans="1:18" ht="12.6" customHeight="1">
      <c r="A56" s="101" t="s">
        <v>457</v>
      </c>
      <c r="B56" s="119"/>
      <c r="C56" s="102" t="s">
        <v>148</v>
      </c>
      <c r="D56" s="100"/>
      <c r="E56" s="157"/>
      <c r="F56" s="100"/>
      <c r="G56" s="157"/>
      <c r="H56" s="100"/>
      <c r="I56" s="7"/>
      <c r="J56" s="100"/>
      <c r="K56" s="7"/>
      <c r="L56" s="100"/>
      <c r="M56" s="7"/>
      <c r="N56" s="975"/>
      <c r="O56" s="996"/>
      <c r="P56" s="991"/>
      <c r="Q56" s="963">
        <f t="shared" si="6"/>
        <v>0</v>
      </c>
      <c r="R56" s="963">
        <f t="shared" si="7"/>
        <v>0</v>
      </c>
    </row>
    <row r="57" spans="1:18" ht="12.6" customHeight="1">
      <c r="A57" s="101"/>
      <c r="B57" s="7" t="s">
        <v>342</v>
      </c>
      <c r="C57" s="102"/>
      <c r="D57" s="100"/>
      <c r="E57" s="7">
        <v>2118399.98</v>
      </c>
      <c r="F57" s="100"/>
      <c r="G57" s="7">
        <v>1061121.2</v>
      </c>
      <c r="H57" s="100"/>
      <c r="I57" s="7">
        <f t="shared" si="5"/>
        <v>1998878.8</v>
      </c>
      <c r="J57" s="100"/>
      <c r="K57" s="7">
        <v>3060000</v>
      </c>
      <c r="L57" s="100"/>
      <c r="M57" s="7">
        <v>3060000</v>
      </c>
      <c r="N57" s="975"/>
      <c r="O57" s="1036">
        <f t="shared" ref="O57:O66" si="10">M57-K57</f>
        <v>0</v>
      </c>
      <c r="P57" s="991">
        <f>1280000+200000+50000+50000+50000+50000</f>
        <v>1680000</v>
      </c>
      <c r="Q57" s="963">
        <f t="shared" si="6"/>
        <v>306000</v>
      </c>
      <c r="R57" s="963">
        <f t="shared" si="7"/>
        <v>3366000</v>
      </c>
    </row>
    <row r="58" spans="1:18" ht="12" customHeight="1">
      <c r="A58" s="101"/>
      <c r="B58" s="7" t="s">
        <v>506</v>
      </c>
      <c r="C58" s="102"/>
      <c r="D58" s="100"/>
      <c r="E58" s="7">
        <v>27000</v>
      </c>
      <c r="F58" s="111"/>
      <c r="G58" s="7">
        <v>9000</v>
      </c>
      <c r="H58" s="111"/>
      <c r="I58" s="7">
        <f t="shared" si="5"/>
        <v>36000</v>
      </c>
      <c r="J58" s="111"/>
      <c r="K58" s="7">
        <v>45000</v>
      </c>
      <c r="L58" s="100"/>
      <c r="M58" s="7">
        <v>45000</v>
      </c>
      <c r="N58" s="975"/>
      <c r="O58" s="1036">
        <f t="shared" si="10"/>
        <v>0</v>
      </c>
      <c r="P58" s="991"/>
      <c r="Q58" s="963">
        <f>O58*0.1</f>
        <v>0</v>
      </c>
    </row>
    <row r="59" spans="1:18" ht="12" customHeight="1">
      <c r="A59" s="101"/>
      <c r="B59" s="7" t="s">
        <v>499</v>
      </c>
      <c r="C59" s="102"/>
      <c r="D59" s="100"/>
      <c r="E59" s="7">
        <v>70475.05</v>
      </c>
      <c r="F59" s="111"/>
      <c r="G59" s="7">
        <v>0</v>
      </c>
      <c r="H59" s="111"/>
      <c r="I59" s="7">
        <f t="shared" ref="I59" si="11">K59-G59</f>
        <v>165000</v>
      </c>
      <c r="J59" s="111"/>
      <c r="K59" s="7">
        <v>165000</v>
      </c>
      <c r="L59" s="100"/>
      <c r="M59" s="7">
        <v>165000</v>
      </c>
      <c r="N59" s="975"/>
      <c r="O59" s="1036">
        <f t="shared" ref="O59" si="12">M59-K59</f>
        <v>0</v>
      </c>
      <c r="P59" s="991"/>
      <c r="Q59" s="963">
        <f>O59*0.1</f>
        <v>0</v>
      </c>
    </row>
    <row r="60" spans="1:18" ht="12" customHeight="1">
      <c r="A60" s="101"/>
      <c r="B60" s="7" t="s">
        <v>750</v>
      </c>
      <c r="C60" s="102"/>
      <c r="D60" s="100"/>
      <c r="E60" s="7">
        <v>0</v>
      </c>
      <c r="F60" s="111"/>
      <c r="G60" s="7">
        <v>39280</v>
      </c>
      <c r="H60" s="111"/>
      <c r="I60" s="7">
        <f t="shared" si="5"/>
        <v>375720</v>
      </c>
      <c r="J60" s="111"/>
      <c r="K60" s="7">
        <v>415000</v>
      </c>
      <c r="L60" s="100"/>
      <c r="M60" s="7">
        <v>375000</v>
      </c>
      <c r="N60" s="975"/>
      <c r="O60" s="1036">
        <f t="shared" si="10"/>
        <v>-40000</v>
      </c>
      <c r="P60" s="991">
        <f>30000+30000+20000+40000+20000+20000+10000+8000+8000+8000+4500+3000+3000+4500+20000+15000+9000+9000+10000+14000+14000+45000+35000+30000+14000+65000+15000+15000+10000+20000+20000</f>
        <v>569000</v>
      </c>
      <c r="Q60" s="963">
        <f>O60*0.1</f>
        <v>-4000</v>
      </c>
    </row>
    <row r="61" spans="1:18" ht="11.25" customHeight="1">
      <c r="A61" s="101"/>
      <c r="B61" s="7" t="s">
        <v>1168</v>
      </c>
      <c r="C61" s="102"/>
      <c r="D61" s="100"/>
      <c r="E61" s="7">
        <v>0</v>
      </c>
      <c r="F61" s="111"/>
      <c r="G61" s="7">
        <v>200000</v>
      </c>
      <c r="H61" s="111"/>
      <c r="I61" s="7">
        <f t="shared" ref="I61:I63" si="13">K61-G61</f>
        <v>300000</v>
      </c>
      <c r="J61" s="111"/>
      <c r="K61" s="7">
        <v>500000</v>
      </c>
      <c r="L61" s="100"/>
      <c r="M61" s="7">
        <v>1000000</v>
      </c>
      <c r="N61" s="975"/>
      <c r="O61" s="1036">
        <f t="shared" si="10"/>
        <v>500000</v>
      </c>
      <c r="P61" s="991">
        <v>500000</v>
      </c>
      <c r="Q61" s="963"/>
    </row>
    <row r="62" spans="1:18" ht="12" customHeight="1">
      <c r="A62" s="101"/>
      <c r="B62" s="7" t="s">
        <v>1169</v>
      </c>
      <c r="C62" s="102"/>
      <c r="D62" s="100"/>
      <c r="E62" s="7">
        <v>0</v>
      </c>
      <c r="F62" s="111"/>
      <c r="G62" s="7">
        <v>0</v>
      </c>
      <c r="H62" s="111"/>
      <c r="I62" s="7">
        <f t="shared" si="13"/>
        <v>200000</v>
      </c>
      <c r="J62" s="111"/>
      <c r="K62" s="7">
        <v>200000</v>
      </c>
      <c r="L62" s="100"/>
      <c r="M62" s="7">
        <v>0</v>
      </c>
      <c r="N62" s="975"/>
      <c r="O62" s="1036">
        <f t="shared" si="10"/>
        <v>-200000</v>
      </c>
      <c r="P62" s="991">
        <v>200000</v>
      </c>
      <c r="Q62" s="963"/>
    </row>
    <row r="63" spans="1:18" ht="12" customHeight="1">
      <c r="A63" s="101"/>
      <c r="B63" s="7" t="s">
        <v>601</v>
      </c>
      <c r="C63" s="102"/>
      <c r="D63" s="100"/>
      <c r="E63" s="7">
        <v>0</v>
      </c>
      <c r="F63" s="111"/>
      <c r="G63" s="7">
        <v>5885</v>
      </c>
      <c r="H63" s="111"/>
      <c r="I63" s="7">
        <f t="shared" si="13"/>
        <v>311115</v>
      </c>
      <c r="J63" s="111"/>
      <c r="K63" s="7">
        <v>317000</v>
      </c>
      <c r="L63" s="100"/>
      <c r="M63" s="7">
        <v>317000</v>
      </c>
      <c r="N63" s="975"/>
      <c r="O63" s="1036">
        <f t="shared" si="10"/>
        <v>0</v>
      </c>
      <c r="P63" s="991">
        <f>5000+10000+10000+20000+3000+10000+10000+10000+20000+65000+10000</f>
        <v>173000</v>
      </c>
      <c r="Q63" s="963"/>
    </row>
    <row r="64" spans="1:18" ht="12" customHeight="1">
      <c r="A64" s="101"/>
      <c r="B64" s="7" t="s">
        <v>1171</v>
      </c>
      <c r="C64" s="102"/>
      <c r="D64" s="100"/>
      <c r="E64" s="7">
        <v>0</v>
      </c>
      <c r="F64" s="111"/>
      <c r="G64" s="7">
        <v>0</v>
      </c>
      <c r="H64" s="111"/>
      <c r="I64" s="7">
        <f t="shared" si="5"/>
        <v>300000</v>
      </c>
      <c r="J64" s="111"/>
      <c r="K64" s="7">
        <v>300000</v>
      </c>
      <c r="L64" s="100"/>
      <c r="M64" s="7">
        <v>300000</v>
      </c>
      <c r="N64" s="975"/>
      <c r="O64" s="1036">
        <f t="shared" ref="O64" si="14">M64-K64</f>
        <v>0</v>
      </c>
      <c r="P64" s="991">
        <f>300000</f>
        <v>300000</v>
      </c>
      <c r="Q64" s="963"/>
    </row>
    <row r="65" spans="1:17" ht="12" customHeight="1">
      <c r="A65" s="101"/>
      <c r="B65" s="7" t="s">
        <v>507</v>
      </c>
      <c r="C65" s="102"/>
      <c r="D65" s="100"/>
      <c r="E65" s="7">
        <v>0</v>
      </c>
      <c r="F65" s="111"/>
      <c r="G65" s="7">
        <v>0</v>
      </c>
      <c r="H65" s="111"/>
      <c r="I65" s="7">
        <f t="shared" ref="I65" si="15">K65-G65</f>
        <v>100000</v>
      </c>
      <c r="J65" s="111"/>
      <c r="K65" s="7">
        <v>100000</v>
      </c>
      <c r="L65" s="100"/>
      <c r="M65" s="7">
        <v>75000</v>
      </c>
      <c r="N65" s="975"/>
      <c r="O65" s="1036">
        <f t="shared" si="10"/>
        <v>-25000</v>
      </c>
      <c r="P65" s="991"/>
      <c r="Q65" s="963"/>
    </row>
    <row r="66" spans="1:17" ht="12" customHeight="1">
      <c r="A66" s="101"/>
      <c r="B66" s="7" t="s">
        <v>510</v>
      </c>
      <c r="C66" s="102"/>
      <c r="D66" s="104"/>
      <c r="E66" s="105">
        <v>254400</v>
      </c>
      <c r="F66" s="139"/>
      <c r="G66" s="105">
        <v>193220.41</v>
      </c>
      <c r="H66" s="139"/>
      <c r="I66" s="105">
        <f t="shared" si="5"/>
        <v>997779.59</v>
      </c>
      <c r="J66" s="139"/>
      <c r="K66" s="105">
        <f>1041000+150000</f>
        <v>1191000</v>
      </c>
      <c r="L66" s="104"/>
      <c r="M66" s="105">
        <v>1191000</v>
      </c>
      <c r="N66" s="975"/>
      <c r="O66" s="1036">
        <f t="shared" si="10"/>
        <v>0</v>
      </c>
      <c r="P66" s="991">
        <f>25000+700000+30000+10000</f>
        <v>765000</v>
      </c>
      <c r="Q66" s="963"/>
    </row>
    <row r="67" spans="1:17" ht="12.6" customHeight="1">
      <c r="A67" s="1336" t="s">
        <v>13</v>
      </c>
      <c r="B67" s="1337"/>
      <c r="C67" s="113"/>
      <c r="D67" s="125" t="s">
        <v>15</v>
      </c>
      <c r="E67" s="126">
        <f>SUM(E42:E66)</f>
        <v>3793235.8099999996</v>
      </c>
      <c r="F67" s="125" t="s">
        <v>15</v>
      </c>
      <c r="G67" s="126">
        <f>SUM(G42:G66)</f>
        <v>2664592.6399999997</v>
      </c>
      <c r="H67" s="125" t="s">
        <v>15</v>
      </c>
      <c r="I67" s="126">
        <f>SUM(I42:I66)</f>
        <v>13489269.359999999</v>
      </c>
      <c r="J67" s="125" t="s">
        <v>15</v>
      </c>
      <c r="K67" s="126">
        <f>SUM(K42:K66)</f>
        <v>16153862</v>
      </c>
      <c r="L67" s="125" t="s">
        <v>15</v>
      </c>
      <c r="M67" s="110">
        <f>SUM(M42:M66)</f>
        <v>14066398</v>
      </c>
      <c r="N67" s="981" t="s">
        <v>15</v>
      </c>
      <c r="O67" s="1033">
        <f>SUM(O42:O66)</f>
        <v>-2087464</v>
      </c>
      <c r="P67" s="1037">
        <f>SUM(P42:P66)</f>
        <v>10722000</v>
      </c>
    </row>
    <row r="68" spans="1:17" ht="12.6" customHeight="1">
      <c r="A68" s="283"/>
      <c r="B68" s="283"/>
      <c r="C68" s="145"/>
      <c r="D68" s="146"/>
      <c r="E68" s="218"/>
      <c r="F68" s="146"/>
      <c r="G68" s="218"/>
      <c r="H68" s="146"/>
      <c r="I68" s="218"/>
      <c r="J68" s="146"/>
      <c r="K68" s="218"/>
      <c r="L68" s="146"/>
      <c r="M68" s="218"/>
      <c r="N68" s="999"/>
      <c r="O68" s="1061"/>
      <c r="P68" s="1039"/>
    </row>
    <row r="69" spans="1:17" ht="18.75" customHeight="1">
      <c r="A69" s="857"/>
      <c r="B69" s="857"/>
      <c r="C69" s="856"/>
      <c r="D69" s="149"/>
      <c r="E69" s="175"/>
      <c r="F69" s="149"/>
      <c r="G69" s="175"/>
      <c r="H69" s="149"/>
      <c r="I69" s="175"/>
      <c r="J69" s="149"/>
      <c r="K69" s="175"/>
      <c r="L69" s="149"/>
      <c r="M69" s="175"/>
      <c r="N69" s="1002"/>
      <c r="O69" s="1039"/>
      <c r="P69" s="1039"/>
    </row>
    <row r="70" spans="1:17" ht="12.6" customHeight="1">
      <c r="A70" s="173" t="s">
        <v>283</v>
      </c>
      <c r="B70" s="797"/>
      <c r="C70" s="798"/>
      <c r="D70" s="144"/>
      <c r="E70" s="218"/>
      <c r="F70" s="144"/>
      <c r="G70" s="174"/>
      <c r="H70" s="144"/>
      <c r="I70" s="174"/>
      <c r="J70" s="144"/>
      <c r="K70" s="174"/>
      <c r="L70" s="146"/>
      <c r="M70" s="174"/>
      <c r="N70" s="999"/>
      <c r="O70" s="1037"/>
      <c r="P70" s="1091"/>
    </row>
    <row r="71" spans="1:17" ht="12.6" customHeight="1">
      <c r="A71" s="124" t="s">
        <v>51</v>
      </c>
      <c r="B71" s="833"/>
      <c r="C71" s="102" t="s">
        <v>149</v>
      </c>
      <c r="D71" s="100" t="s">
        <v>15</v>
      </c>
      <c r="E71" s="7"/>
      <c r="F71" s="100" t="s">
        <v>15</v>
      </c>
      <c r="G71" s="7"/>
      <c r="H71" s="100" t="s">
        <v>15</v>
      </c>
      <c r="I71" s="7"/>
      <c r="J71" s="100" t="s">
        <v>15</v>
      </c>
      <c r="K71" s="7"/>
      <c r="L71" s="100" t="s">
        <v>15</v>
      </c>
      <c r="M71" s="7"/>
      <c r="N71" s="973" t="s">
        <v>15</v>
      </c>
      <c r="O71" s="1036"/>
      <c r="P71" s="991"/>
    </row>
    <row r="72" spans="1:17" ht="12.6" customHeight="1">
      <c r="A72" s="124" t="s">
        <v>1223</v>
      </c>
      <c r="B72" s="833"/>
      <c r="C72" s="102"/>
      <c r="D72" s="100"/>
      <c r="E72" s="7">
        <v>0</v>
      </c>
      <c r="F72" s="100"/>
      <c r="G72" s="7">
        <v>0</v>
      </c>
      <c r="H72" s="100"/>
      <c r="I72" s="7">
        <f t="shared" ref="I72:I87" si="16">K72-G72</f>
        <v>198000</v>
      </c>
      <c r="J72" s="100"/>
      <c r="K72" s="7">
        <v>198000</v>
      </c>
      <c r="L72" s="100"/>
      <c r="M72" s="7"/>
      <c r="N72" s="973"/>
      <c r="O72" s="1036"/>
      <c r="P72" s="991">
        <v>198000</v>
      </c>
    </row>
    <row r="73" spans="1:17" ht="12.6" customHeight="1">
      <c r="A73" s="124" t="s">
        <v>1199</v>
      </c>
      <c r="B73" s="833"/>
      <c r="C73" s="102"/>
      <c r="D73" s="100"/>
      <c r="E73" s="7">
        <v>0</v>
      </c>
      <c r="F73" s="100"/>
      <c r="G73" s="7">
        <v>0</v>
      </c>
      <c r="H73" s="100"/>
      <c r="I73" s="7">
        <f t="shared" si="16"/>
        <v>20000</v>
      </c>
      <c r="J73" s="100"/>
      <c r="K73" s="7">
        <v>20000</v>
      </c>
      <c r="L73" s="100"/>
      <c r="M73" s="7"/>
      <c r="N73" s="973"/>
      <c r="O73" s="1036"/>
      <c r="P73" s="991">
        <v>20000</v>
      </c>
    </row>
    <row r="74" spans="1:17" ht="12.6" customHeight="1">
      <c r="A74" s="124" t="s">
        <v>154</v>
      </c>
      <c r="B74" s="833"/>
      <c r="C74" s="102" t="s">
        <v>151</v>
      </c>
      <c r="D74" s="122"/>
      <c r="E74" s="7"/>
      <c r="F74" s="122"/>
      <c r="G74" s="7"/>
      <c r="H74" s="122"/>
      <c r="I74" s="7"/>
      <c r="J74" s="122"/>
      <c r="K74" s="7"/>
      <c r="L74" s="122"/>
      <c r="M74" s="7"/>
      <c r="N74" s="977"/>
      <c r="O74" s="996"/>
      <c r="P74" s="991"/>
    </row>
    <row r="75" spans="1:17" ht="12.6" customHeight="1">
      <c r="A75" s="124" t="s">
        <v>1172</v>
      </c>
      <c r="B75" s="514"/>
      <c r="C75" s="102"/>
      <c r="D75" s="122"/>
      <c r="E75" s="7">
        <v>0</v>
      </c>
      <c r="F75" s="122"/>
      <c r="G75" s="7">
        <v>0</v>
      </c>
      <c r="H75" s="122"/>
      <c r="I75" s="7">
        <f t="shared" si="16"/>
        <v>550000</v>
      </c>
      <c r="J75" s="122"/>
      <c r="K75" s="7">
        <f>300000+250000</f>
        <v>550000</v>
      </c>
      <c r="L75" s="122"/>
      <c r="M75" s="7"/>
      <c r="N75" s="977"/>
      <c r="O75" s="996">
        <v>0</v>
      </c>
      <c r="P75" s="991">
        <f>250000</f>
        <v>250000</v>
      </c>
    </row>
    <row r="76" spans="1:17" ht="12.6" customHeight="1">
      <c r="A76" s="124" t="s">
        <v>1173</v>
      </c>
      <c r="B76" s="823"/>
      <c r="C76" s="102"/>
      <c r="D76" s="122"/>
      <c r="E76" s="7">
        <v>0</v>
      </c>
      <c r="F76" s="122"/>
      <c r="G76" s="7">
        <v>0</v>
      </c>
      <c r="H76" s="122"/>
      <c r="I76" s="7">
        <f t="shared" si="16"/>
        <v>240000</v>
      </c>
      <c r="J76" s="122"/>
      <c r="K76" s="7">
        <f>60000+180000</f>
        <v>240000</v>
      </c>
      <c r="L76" s="122"/>
      <c r="M76" s="7"/>
      <c r="N76" s="977"/>
      <c r="O76" s="996">
        <v>0</v>
      </c>
      <c r="P76" s="991">
        <f>150000+30000</f>
        <v>180000</v>
      </c>
    </row>
    <row r="77" spans="1:17" ht="12.6" customHeight="1">
      <c r="A77" s="124" t="s">
        <v>1200</v>
      </c>
      <c r="B77" s="288"/>
      <c r="C77" s="102"/>
      <c r="D77" s="122"/>
      <c r="E77" s="7">
        <v>0</v>
      </c>
      <c r="F77" s="122"/>
      <c r="G77" s="7">
        <v>0</v>
      </c>
      <c r="H77" s="122"/>
      <c r="I77" s="7">
        <f t="shared" si="16"/>
        <v>30000</v>
      </c>
      <c r="J77" s="122"/>
      <c r="K77" s="7">
        <v>30000</v>
      </c>
      <c r="L77" s="122"/>
      <c r="M77" s="7"/>
      <c r="N77" s="977"/>
      <c r="O77" s="996">
        <v>0</v>
      </c>
      <c r="P77" s="991">
        <v>30000</v>
      </c>
    </row>
    <row r="78" spans="1:17" ht="12" customHeight="1">
      <c r="A78" s="124" t="s">
        <v>319</v>
      </c>
      <c r="B78" s="809"/>
      <c r="C78" s="102" t="s">
        <v>320</v>
      </c>
      <c r="D78" s="100"/>
      <c r="E78" s="7"/>
      <c r="F78" s="100"/>
      <c r="G78" s="7"/>
      <c r="H78" s="100"/>
      <c r="I78" s="7"/>
      <c r="J78" s="100"/>
      <c r="K78" s="7"/>
      <c r="L78" s="100"/>
      <c r="M78" s="7"/>
      <c r="N78" s="971"/>
      <c r="O78" s="1035"/>
      <c r="P78" s="990"/>
    </row>
    <row r="79" spans="1:17" ht="12" customHeight="1">
      <c r="A79" s="124" t="s">
        <v>1170</v>
      </c>
      <c r="B79" s="823"/>
      <c r="C79" s="102"/>
      <c r="D79" s="100"/>
      <c r="E79" s="7">
        <v>0</v>
      </c>
      <c r="F79" s="100"/>
      <c r="G79" s="7">
        <v>0</v>
      </c>
      <c r="H79" s="100"/>
      <c r="I79" s="7">
        <f t="shared" si="16"/>
        <v>200000</v>
      </c>
      <c r="J79" s="100"/>
      <c r="K79" s="7">
        <v>200000</v>
      </c>
      <c r="L79" s="100"/>
      <c r="M79" s="7"/>
      <c r="N79" s="973"/>
      <c r="O79" s="1036">
        <v>0</v>
      </c>
      <c r="P79" s="990">
        <v>200000</v>
      </c>
    </row>
    <row r="80" spans="1:17" ht="12" customHeight="1">
      <c r="A80" s="124" t="s">
        <v>1211</v>
      </c>
      <c r="B80" s="830"/>
      <c r="C80" s="102" t="s">
        <v>1212</v>
      </c>
      <c r="D80" s="100"/>
      <c r="E80" s="7"/>
      <c r="F80" s="100"/>
      <c r="G80" s="7"/>
      <c r="H80" s="100"/>
      <c r="I80" s="7"/>
      <c r="J80" s="100"/>
      <c r="K80" s="7"/>
      <c r="L80" s="100"/>
      <c r="M80" s="7"/>
      <c r="N80" s="971"/>
      <c r="O80" s="1035"/>
      <c r="P80" s="990"/>
    </row>
    <row r="81" spans="1:22" ht="12" customHeight="1">
      <c r="A81" s="124" t="s">
        <v>1209</v>
      </c>
      <c r="B81" s="830"/>
      <c r="C81" s="102"/>
      <c r="D81" s="100"/>
      <c r="E81" s="7">
        <v>0</v>
      </c>
      <c r="F81" s="100"/>
      <c r="G81" s="7">
        <v>0</v>
      </c>
      <c r="H81" s="100"/>
      <c r="I81" s="7">
        <f t="shared" si="16"/>
        <v>30000</v>
      </c>
      <c r="J81" s="100"/>
      <c r="K81" s="7">
        <v>30000</v>
      </c>
      <c r="L81" s="100"/>
      <c r="M81" s="7"/>
      <c r="N81" s="973"/>
      <c r="O81" s="1036">
        <v>0</v>
      </c>
      <c r="P81" s="990">
        <v>200000</v>
      </c>
      <c r="R81" s="961" t="s">
        <v>1208</v>
      </c>
    </row>
    <row r="82" spans="1:22" ht="12" customHeight="1">
      <c r="A82" s="124" t="s">
        <v>1213</v>
      </c>
      <c r="B82" s="830"/>
      <c r="C82" s="102"/>
      <c r="D82" s="100"/>
      <c r="E82" s="7">
        <v>0</v>
      </c>
      <c r="F82" s="100"/>
      <c r="G82" s="7">
        <v>0</v>
      </c>
      <c r="H82" s="100"/>
      <c r="I82" s="7">
        <f t="shared" si="16"/>
        <v>80000</v>
      </c>
      <c r="J82" s="100"/>
      <c r="K82" s="7">
        <v>80000</v>
      </c>
      <c r="L82" s="100"/>
      <c r="M82" s="7"/>
      <c r="N82" s="971"/>
      <c r="O82" s="1035"/>
      <c r="P82" s="990"/>
    </row>
    <row r="83" spans="1:22" ht="12" customHeight="1">
      <c r="A83" s="124" t="s">
        <v>1214</v>
      </c>
      <c r="B83" s="830"/>
      <c r="C83" s="102"/>
      <c r="D83" s="100"/>
      <c r="E83" s="7">
        <v>0</v>
      </c>
      <c r="F83" s="100"/>
      <c r="G83" s="7">
        <v>0</v>
      </c>
      <c r="H83" s="100"/>
      <c r="I83" s="7">
        <f t="shared" si="16"/>
        <v>21500</v>
      </c>
      <c r="J83" s="100"/>
      <c r="K83" s="7">
        <v>21500</v>
      </c>
      <c r="L83" s="100"/>
      <c r="M83" s="7"/>
      <c r="N83" s="971"/>
      <c r="O83" s="1035"/>
      <c r="P83" s="990"/>
    </row>
    <row r="84" spans="1:22" ht="12" customHeight="1">
      <c r="A84" s="124" t="s">
        <v>58</v>
      </c>
      <c r="B84" s="830"/>
      <c r="C84" s="102" t="s">
        <v>155</v>
      </c>
      <c r="D84" s="100"/>
      <c r="E84" s="7"/>
      <c r="F84" s="100"/>
      <c r="G84" s="7"/>
      <c r="H84" s="100"/>
      <c r="I84" s="7"/>
      <c r="J84" s="100"/>
      <c r="K84" s="7"/>
      <c r="L84" s="100"/>
      <c r="M84" s="7"/>
      <c r="N84" s="971"/>
      <c r="O84" s="1035"/>
      <c r="P84" s="990"/>
    </row>
    <row r="85" spans="1:22" ht="12" customHeight="1">
      <c r="A85" s="124" t="s">
        <v>1174</v>
      </c>
      <c r="B85" s="809"/>
      <c r="C85" s="102"/>
      <c r="D85" s="100"/>
      <c r="E85" s="7">
        <v>0</v>
      </c>
      <c r="F85" s="100"/>
      <c r="G85" s="7">
        <v>0</v>
      </c>
      <c r="H85" s="100"/>
      <c r="I85" s="7">
        <f t="shared" si="16"/>
        <v>30000</v>
      </c>
      <c r="J85" s="100"/>
      <c r="K85" s="7">
        <v>30000</v>
      </c>
      <c r="L85" s="100"/>
      <c r="M85" s="7"/>
      <c r="N85" s="973"/>
      <c r="O85" s="1036">
        <v>0</v>
      </c>
      <c r="P85" s="990">
        <v>30000</v>
      </c>
    </row>
    <row r="86" spans="1:22" ht="12.6" customHeight="1">
      <c r="A86" s="124" t="s">
        <v>50</v>
      </c>
      <c r="B86" s="288"/>
      <c r="C86" s="102" t="s">
        <v>156</v>
      </c>
      <c r="D86" s="122"/>
      <c r="E86" s="7"/>
      <c r="F86" s="122"/>
      <c r="G86" s="7"/>
      <c r="H86" s="122"/>
      <c r="I86" s="7"/>
      <c r="J86" s="122"/>
      <c r="K86" s="7"/>
      <c r="L86" s="122"/>
      <c r="M86" s="7"/>
      <c r="N86" s="977"/>
      <c r="O86" s="996"/>
      <c r="P86" s="991"/>
    </row>
    <row r="87" spans="1:22" ht="12.6" customHeight="1">
      <c r="A87" s="124" t="s">
        <v>1224</v>
      </c>
      <c r="B87" s="760"/>
      <c r="C87" s="102"/>
      <c r="D87" s="122"/>
      <c r="E87" s="7">
        <v>0</v>
      </c>
      <c r="F87" s="122"/>
      <c r="G87" s="7">
        <v>0</v>
      </c>
      <c r="H87" s="122"/>
      <c r="I87" s="7">
        <f t="shared" si="16"/>
        <v>1900000</v>
      </c>
      <c r="J87" s="122"/>
      <c r="K87" s="105">
        <v>1900000</v>
      </c>
      <c r="L87" s="125"/>
      <c r="M87" s="105"/>
      <c r="N87" s="977"/>
      <c r="O87" s="996">
        <v>0</v>
      </c>
      <c r="P87" s="991">
        <v>1900000</v>
      </c>
    </row>
    <row r="88" spans="1:22" ht="12.6" customHeight="1">
      <c r="A88" s="1325" t="s">
        <v>16</v>
      </c>
      <c r="B88" s="1326"/>
      <c r="C88" s="102"/>
      <c r="D88" s="109" t="s">
        <v>15</v>
      </c>
      <c r="E88" s="110">
        <f>SUM(E74:E86)</f>
        <v>0</v>
      </c>
      <c r="F88" s="109" t="s">
        <v>15</v>
      </c>
      <c r="G88" s="110">
        <f>SUM(G74:G86)</f>
        <v>0</v>
      </c>
      <c r="H88" s="109" t="s">
        <v>15</v>
      </c>
      <c r="I88" s="110">
        <f>SUM(I71:I87)</f>
        <v>3299500</v>
      </c>
      <c r="J88" s="109" t="s">
        <v>15</v>
      </c>
      <c r="K88" s="110">
        <f>SUM(K72:K87)</f>
        <v>3299500</v>
      </c>
      <c r="L88" s="109" t="s">
        <v>15</v>
      </c>
      <c r="M88" s="110">
        <f>SUM(M71:M87)</f>
        <v>0</v>
      </c>
      <c r="N88" s="977" t="s">
        <v>15</v>
      </c>
      <c r="O88" s="1033">
        <f>SUM(O71:O87)</f>
        <v>0</v>
      </c>
      <c r="P88" s="1033">
        <f>SUM(P71:P87)</f>
        <v>3008000</v>
      </c>
    </row>
    <row r="89" spans="1:22" ht="6.75" customHeight="1">
      <c r="A89" s="101"/>
      <c r="B89" s="98"/>
      <c r="C89" s="102"/>
      <c r="D89" s="100"/>
      <c r="E89" s="7"/>
      <c r="F89" s="100"/>
      <c r="G89" s="7"/>
      <c r="H89" s="100"/>
      <c r="I89" s="7"/>
      <c r="J89" s="100"/>
      <c r="K89" s="7"/>
      <c r="L89" s="100"/>
      <c r="M89" s="7"/>
      <c r="N89" s="971"/>
      <c r="O89" s="1035"/>
      <c r="P89" s="991"/>
    </row>
    <row r="90" spans="1:22" ht="12.6" customHeight="1">
      <c r="A90" s="1336" t="s">
        <v>277</v>
      </c>
      <c r="B90" s="1337"/>
      <c r="C90" s="113"/>
      <c r="D90" s="125" t="s">
        <v>15</v>
      </c>
      <c r="E90" s="126">
        <f>E88+E67+E40</f>
        <v>20389117.939999998</v>
      </c>
      <c r="F90" s="125" t="s">
        <v>15</v>
      </c>
      <c r="G90" s="126">
        <f>G88+G67+G40</f>
        <v>12618374.619999997</v>
      </c>
      <c r="H90" s="125" t="s">
        <v>15</v>
      </c>
      <c r="I90" s="126">
        <f>I88+I67+I40</f>
        <v>31474619.379999999</v>
      </c>
      <c r="J90" s="125" t="s">
        <v>15</v>
      </c>
      <c r="K90" s="126">
        <f>K88+K67+K40</f>
        <v>44092994</v>
      </c>
      <c r="L90" s="125" t="s">
        <v>15</v>
      </c>
      <c r="M90" s="126">
        <f>M88+M67+M40</f>
        <v>38841438</v>
      </c>
      <c r="N90" s="981"/>
      <c r="O90" s="1044"/>
      <c r="P90" s="1091">
        <f>P88+P67</f>
        <v>13730000</v>
      </c>
      <c r="R90" s="990">
        <v>44092994</v>
      </c>
    </row>
    <row r="91" spans="1:22" ht="14.25" customHeight="1">
      <c r="A91" s="62" t="s">
        <v>1623</v>
      </c>
      <c r="B91" s="916"/>
      <c r="C91" s="915"/>
      <c r="D91" s="149"/>
      <c r="E91" s="175"/>
      <c r="F91" s="149"/>
      <c r="G91" s="175"/>
      <c r="H91" s="149"/>
      <c r="I91" s="175"/>
      <c r="J91" s="149"/>
      <c r="K91" s="175"/>
      <c r="L91" s="149"/>
      <c r="M91" s="175"/>
      <c r="N91" s="1002"/>
      <c r="O91" s="1039"/>
      <c r="P91" s="1091"/>
      <c r="R91" s="990"/>
    </row>
    <row r="92" spans="1:22" s="127" customFormat="1" ht="19.5" customHeight="1">
      <c r="A92" s="127" t="s">
        <v>187</v>
      </c>
      <c r="C92" s="128" t="s">
        <v>188</v>
      </c>
      <c r="F92" s="129"/>
      <c r="I92" s="127" t="s">
        <v>190</v>
      </c>
      <c r="L92" s="129"/>
      <c r="N92" s="964"/>
      <c r="O92" s="985"/>
      <c r="P92" s="1092"/>
      <c r="Q92" s="985"/>
      <c r="R92" s="1093">
        <f>M90-R90</f>
        <v>-5251556</v>
      </c>
      <c r="S92" s="130"/>
      <c r="T92" s="130"/>
      <c r="U92" s="130"/>
      <c r="V92" s="130"/>
    </row>
    <row r="94" spans="1:22">
      <c r="A94" s="133" t="s">
        <v>213</v>
      </c>
      <c r="B94" s="133"/>
      <c r="E94" s="133"/>
      <c r="F94" s="133"/>
      <c r="G94" s="133"/>
      <c r="H94" s="133"/>
      <c r="I94" s="133"/>
      <c r="J94" s="133"/>
      <c r="K94" s="133"/>
      <c r="L94" s="133"/>
      <c r="M94" s="133"/>
      <c r="N94" s="987"/>
      <c r="O94" s="987"/>
      <c r="P94" s="1094"/>
    </row>
    <row r="95" spans="1:22" s="89" customFormat="1">
      <c r="A95" s="1323" t="s">
        <v>1616</v>
      </c>
      <c r="B95" s="1323"/>
      <c r="C95" s="1323" t="s">
        <v>1584</v>
      </c>
      <c r="D95" s="1323"/>
      <c r="E95" s="1323"/>
      <c r="F95" s="1323"/>
      <c r="G95" s="1323"/>
      <c r="H95" s="131"/>
      <c r="I95" s="1323" t="str">
        <f>bfp!I48</f>
        <v>(Sgd.) ATTY. JOSE JOEL P. DOROMAL</v>
      </c>
      <c r="J95" s="1323"/>
      <c r="K95" s="1323"/>
      <c r="L95" s="1323"/>
      <c r="M95" s="1323"/>
      <c r="N95" s="986"/>
      <c r="O95" s="986"/>
      <c r="P95" s="1087"/>
      <c r="Q95" s="965"/>
      <c r="R95" s="965"/>
    </row>
    <row r="96" spans="1:22">
      <c r="A96" s="1322" t="s">
        <v>212</v>
      </c>
      <c r="B96" s="1322"/>
      <c r="C96" s="1322" t="s">
        <v>206</v>
      </c>
      <c r="D96" s="1322"/>
      <c r="E96" s="1322"/>
      <c r="F96" s="1322"/>
      <c r="G96" s="1322"/>
      <c r="I96" s="1322" t="s">
        <v>192</v>
      </c>
      <c r="J96" s="1322"/>
      <c r="K96" s="1322"/>
      <c r="L96" s="1322"/>
      <c r="M96" s="1322"/>
      <c r="N96" s="987"/>
      <c r="O96" s="987"/>
      <c r="P96" s="1089"/>
    </row>
    <row r="97" spans="1:16" s="965" customFormat="1">
      <c r="A97" s="965" t="s">
        <v>1045</v>
      </c>
      <c r="D97" s="1095"/>
      <c r="F97" s="1095"/>
      <c r="H97" s="1095"/>
      <c r="J97" s="1095"/>
      <c r="L97" s="1095"/>
      <c r="N97" s="1095"/>
      <c r="P97" s="1096"/>
    </row>
    <row r="98" spans="1:16" s="961" customFormat="1" hidden="1">
      <c r="A98" s="1097"/>
      <c r="B98" s="1098"/>
      <c r="C98" s="1098"/>
      <c r="D98" s="1038"/>
      <c r="E98" s="1099"/>
      <c r="F98" s="966"/>
      <c r="H98" s="966"/>
      <c r="J98" s="966"/>
      <c r="L98" s="966"/>
      <c r="N98" s="966"/>
      <c r="P98" s="1086"/>
    </row>
    <row r="99" spans="1:16" s="961" customFormat="1" hidden="1">
      <c r="A99" s="1372" t="s">
        <v>60</v>
      </c>
      <c r="B99" s="1373"/>
      <c r="C99" s="1005"/>
      <c r="D99" s="983"/>
      <c r="E99" s="1100"/>
      <c r="F99" s="966"/>
      <c r="H99" s="966"/>
      <c r="J99" s="966"/>
      <c r="L99" s="966"/>
      <c r="N99" s="966"/>
      <c r="P99" s="1086"/>
    </row>
    <row r="100" spans="1:16" s="961" customFormat="1" hidden="1">
      <c r="A100" s="1101" t="s">
        <v>233</v>
      </c>
      <c r="B100" s="1005"/>
      <c r="C100" s="1005"/>
      <c r="D100" s="983"/>
      <c r="E100" s="1102" t="s">
        <v>228</v>
      </c>
      <c r="F100" s="966"/>
      <c r="H100" s="966"/>
      <c r="J100" s="966"/>
      <c r="L100" s="966"/>
      <c r="N100" s="966"/>
      <c r="P100" s="1086"/>
    </row>
    <row r="101" spans="1:16" s="961" customFormat="1" hidden="1">
      <c r="A101" s="1101"/>
      <c r="B101" s="1005"/>
      <c r="C101" s="1005"/>
      <c r="D101" s="983"/>
      <c r="E101" s="1100"/>
      <c r="F101" s="966"/>
      <c r="H101" s="966"/>
      <c r="J101" s="966"/>
      <c r="L101" s="966"/>
      <c r="N101" s="966"/>
      <c r="P101" s="1086"/>
    </row>
    <row r="102" spans="1:16" s="961" customFormat="1" hidden="1">
      <c r="A102" s="1068" t="s">
        <v>77</v>
      </c>
      <c r="B102" s="1005"/>
      <c r="C102" s="1005"/>
      <c r="D102" s="983" t="s">
        <v>15</v>
      </c>
      <c r="E102" s="1035">
        <v>200000</v>
      </c>
      <c r="F102" s="966"/>
      <c r="H102" s="966"/>
      <c r="J102" s="966"/>
      <c r="L102" s="966"/>
      <c r="N102" s="966"/>
      <c r="P102" s="1086"/>
    </row>
    <row r="103" spans="1:16" s="961" customFormat="1" ht="15.75" hidden="1">
      <c r="A103" s="1068" t="s">
        <v>234</v>
      </c>
      <c r="B103" s="1005"/>
      <c r="C103" s="1005"/>
      <c r="D103" s="983"/>
      <c r="E103" s="1103">
        <v>0</v>
      </c>
      <c r="F103" s="966"/>
      <c r="H103" s="966"/>
      <c r="J103" s="966"/>
      <c r="L103" s="966"/>
      <c r="N103" s="966"/>
      <c r="P103" s="1086"/>
    </row>
    <row r="104" spans="1:16" s="961" customFormat="1" hidden="1">
      <c r="A104" s="1370" t="s">
        <v>64</v>
      </c>
      <c r="B104" s="1371"/>
      <c r="C104" s="1005"/>
      <c r="D104" s="983" t="s">
        <v>15</v>
      </c>
      <c r="E104" s="1035">
        <f>SUM(E102:E103)</f>
        <v>200000</v>
      </c>
      <c r="F104" s="966"/>
      <c r="H104" s="966"/>
      <c r="J104" s="966"/>
      <c r="L104" s="966"/>
      <c r="N104" s="966"/>
      <c r="P104" s="1086"/>
    </row>
    <row r="105" spans="1:16" s="961" customFormat="1" hidden="1">
      <c r="A105" s="1104"/>
      <c r="B105" s="1105"/>
      <c r="C105" s="1105"/>
      <c r="D105" s="1106"/>
      <c r="E105" s="1107"/>
      <c r="F105" s="966"/>
      <c r="H105" s="966"/>
      <c r="J105" s="966"/>
      <c r="L105" s="966"/>
      <c r="N105" s="966"/>
      <c r="P105" s="1086"/>
    </row>
    <row r="106" spans="1:16" s="961" customFormat="1">
      <c r="A106" s="961" t="s">
        <v>1046</v>
      </c>
      <c r="D106" s="966"/>
      <c r="F106" s="966"/>
      <c r="H106" s="966"/>
      <c r="J106" s="966"/>
      <c r="L106" s="966"/>
      <c r="N106" s="966"/>
      <c r="P106" s="1086"/>
    </row>
    <row r="107" spans="1:16" s="961" customFormat="1">
      <c r="A107" s="961" t="s">
        <v>1044</v>
      </c>
      <c r="D107" s="966"/>
      <c r="F107" s="966"/>
      <c r="H107" s="966"/>
      <c r="J107" s="966"/>
      <c r="L107" s="966"/>
      <c r="N107" s="966"/>
      <c r="P107" s="1086"/>
    </row>
    <row r="108" spans="1:16" s="961" customFormat="1">
      <c r="A108" s="961" t="s">
        <v>1047</v>
      </c>
      <c r="D108" s="966"/>
      <c r="F108" s="966"/>
      <c r="H108" s="966"/>
      <c r="J108" s="966"/>
      <c r="L108" s="966"/>
      <c r="N108" s="966"/>
      <c r="P108" s="1086"/>
    </row>
    <row r="109" spans="1:16" s="961" customFormat="1">
      <c r="A109" s="961" t="s">
        <v>1050</v>
      </c>
      <c r="D109" s="966"/>
      <c r="F109" s="966"/>
      <c r="H109" s="966"/>
      <c r="J109" s="966"/>
      <c r="L109" s="966"/>
      <c r="N109" s="966"/>
      <c r="P109" s="1086"/>
    </row>
    <row r="110" spans="1:16" s="961" customFormat="1">
      <c r="A110" s="961" t="s">
        <v>1048</v>
      </c>
      <c r="D110" s="966"/>
      <c r="F110" s="966"/>
      <c r="H110" s="966"/>
      <c r="J110" s="966"/>
      <c r="L110" s="966"/>
      <c r="N110" s="966"/>
      <c r="P110" s="1086"/>
    </row>
    <row r="111" spans="1:16" s="961" customFormat="1">
      <c r="A111" s="961" t="s">
        <v>1049</v>
      </c>
      <c r="D111" s="966"/>
      <c r="F111" s="966"/>
      <c r="H111" s="966"/>
      <c r="J111" s="966"/>
      <c r="L111" s="966"/>
      <c r="N111" s="966"/>
      <c r="P111" s="1086"/>
    </row>
    <row r="112" spans="1:16" s="961" customFormat="1">
      <c r="A112" s="961" t="s">
        <v>1051</v>
      </c>
      <c r="D112" s="966"/>
      <c r="F112" s="966"/>
      <c r="H112" s="966"/>
      <c r="J112" s="966"/>
      <c r="L112" s="966"/>
      <c r="N112" s="966"/>
      <c r="P112" s="1086"/>
    </row>
    <row r="113" spans="1:16" s="961" customFormat="1">
      <c r="D113" s="966"/>
      <c r="F113" s="966"/>
      <c r="H113" s="966"/>
      <c r="J113" s="966"/>
      <c r="L113" s="966"/>
      <c r="N113" s="966"/>
      <c r="P113" s="1086"/>
    </row>
    <row r="114" spans="1:16" s="961" customFormat="1">
      <c r="A114" s="961" t="s">
        <v>1052</v>
      </c>
      <c r="D114" s="966"/>
      <c r="F114" s="966"/>
      <c r="H114" s="966"/>
      <c r="J114" s="966"/>
      <c r="L114" s="966"/>
      <c r="N114" s="966"/>
      <c r="P114" s="1086"/>
    </row>
    <row r="115" spans="1:16" s="961" customFormat="1">
      <c r="A115" s="961" t="s">
        <v>1053</v>
      </c>
      <c r="D115" s="966"/>
      <c r="F115" s="966"/>
      <c r="H115" s="966"/>
      <c r="J115" s="966"/>
      <c r="L115" s="966"/>
      <c r="N115" s="966"/>
      <c r="P115" s="1086"/>
    </row>
    <row r="116" spans="1:16" s="961" customFormat="1">
      <c r="A116" s="961" t="s">
        <v>1054</v>
      </c>
      <c r="D116" s="966"/>
      <c r="F116" s="966"/>
      <c r="H116" s="966"/>
      <c r="J116" s="966"/>
      <c r="L116" s="966"/>
      <c r="N116" s="966"/>
      <c r="P116" s="1086"/>
    </row>
    <row r="117" spans="1:16" s="961" customFormat="1">
      <c r="A117" s="961" t="s">
        <v>1055</v>
      </c>
      <c r="D117" s="966"/>
      <c r="F117" s="966"/>
      <c r="H117" s="966"/>
      <c r="J117" s="966"/>
      <c r="L117" s="966"/>
      <c r="N117" s="966"/>
      <c r="P117" s="1086"/>
    </row>
    <row r="118" spans="1:16" s="961" customFormat="1">
      <c r="D118" s="966"/>
      <c r="F118" s="966"/>
      <c r="H118" s="966"/>
      <c r="J118" s="966"/>
      <c r="L118" s="966"/>
      <c r="N118" s="966"/>
      <c r="P118" s="1086"/>
    </row>
    <row r="119" spans="1:16" s="961" customFormat="1">
      <c r="A119" s="961" t="s">
        <v>1060</v>
      </c>
      <c r="D119" s="966"/>
      <c r="F119" s="966"/>
      <c r="H119" s="966"/>
      <c r="J119" s="966"/>
      <c r="L119" s="966"/>
      <c r="N119" s="966"/>
      <c r="P119" s="1086"/>
    </row>
    <row r="120" spans="1:16" s="961" customFormat="1">
      <c r="A120" s="961" t="s">
        <v>1058</v>
      </c>
      <c r="C120" s="990"/>
      <c r="D120" s="966"/>
      <c r="F120" s="966"/>
      <c r="H120" s="966"/>
      <c r="J120" s="966"/>
      <c r="L120" s="966"/>
      <c r="N120" s="966"/>
      <c r="P120" s="1086"/>
    </row>
    <row r="121" spans="1:16" s="961" customFormat="1">
      <c r="A121" s="961" t="s">
        <v>1057</v>
      </c>
      <c r="D121" s="966"/>
      <c r="F121" s="966"/>
      <c r="H121" s="966"/>
      <c r="J121" s="966"/>
      <c r="L121" s="966"/>
      <c r="N121" s="966"/>
      <c r="P121" s="1086"/>
    </row>
    <row r="122" spans="1:16" s="961" customFormat="1">
      <c r="A122" s="961" t="s">
        <v>1061</v>
      </c>
      <c r="D122" s="966"/>
      <c r="F122" s="966"/>
      <c r="H122" s="966"/>
      <c r="J122" s="966"/>
      <c r="L122" s="966"/>
      <c r="N122" s="966"/>
      <c r="P122" s="1086"/>
    </row>
    <row r="123" spans="1:16" s="961" customFormat="1">
      <c r="D123" s="966"/>
      <c r="F123" s="966"/>
      <c r="H123" s="966"/>
      <c r="J123" s="966"/>
      <c r="L123" s="966"/>
      <c r="N123" s="966"/>
      <c r="P123" s="1086"/>
    </row>
    <row r="124" spans="1:16" s="961" customFormat="1">
      <c r="A124" s="961" t="s">
        <v>1059</v>
      </c>
      <c r="D124" s="966"/>
      <c r="F124" s="966"/>
      <c r="H124" s="966"/>
      <c r="J124" s="966"/>
      <c r="L124" s="966"/>
      <c r="N124" s="966"/>
      <c r="P124" s="1086"/>
    </row>
    <row r="147" spans="1:16" s="961" customFormat="1">
      <c r="D147" s="966"/>
      <c r="F147" s="966"/>
      <c r="H147" s="966"/>
      <c r="J147" s="966"/>
      <c r="L147" s="966"/>
      <c r="N147" s="966"/>
      <c r="P147" s="1086"/>
    </row>
    <row r="148" spans="1:16" s="961" customFormat="1">
      <c r="D148" s="966"/>
      <c r="F148" s="966"/>
      <c r="H148" s="966"/>
      <c r="J148" s="966"/>
      <c r="L148" s="966"/>
      <c r="N148" s="966"/>
      <c r="P148" s="1086"/>
    </row>
    <row r="149" spans="1:16" s="961" customFormat="1">
      <c r="D149" s="966"/>
      <c r="F149" s="966"/>
      <c r="H149" s="966"/>
      <c r="J149" s="966"/>
      <c r="L149" s="966"/>
      <c r="N149" s="966"/>
      <c r="P149" s="1086"/>
    </row>
    <row r="150" spans="1:16" s="961" customFormat="1">
      <c r="A150" s="1108" t="s">
        <v>324</v>
      </c>
      <c r="B150" s="1098"/>
      <c r="C150" s="1098"/>
      <c r="D150" s="1038"/>
      <c r="E150" s="1099"/>
      <c r="F150" s="966"/>
      <c r="H150" s="966"/>
      <c r="J150" s="966"/>
      <c r="L150" s="966"/>
      <c r="N150" s="966"/>
      <c r="P150" s="1086"/>
    </row>
    <row r="151" spans="1:16" s="961" customFormat="1">
      <c r="A151" s="1372" t="s">
        <v>60</v>
      </c>
      <c r="B151" s="1373"/>
      <c r="C151" s="1005"/>
      <c r="D151" s="983"/>
      <c r="E151" s="1100"/>
      <c r="F151" s="966"/>
      <c r="H151" s="966"/>
      <c r="J151" s="966"/>
      <c r="L151" s="966"/>
      <c r="N151" s="966"/>
      <c r="P151" s="1086"/>
    </row>
    <row r="152" spans="1:16" s="961" customFormat="1">
      <c r="A152" s="1101" t="s">
        <v>233</v>
      </c>
      <c r="B152" s="1005"/>
      <c r="C152" s="1005"/>
      <c r="D152" s="983"/>
      <c r="E152" s="1102" t="s">
        <v>300</v>
      </c>
      <c r="F152" s="966"/>
      <c r="H152" s="966"/>
      <c r="J152" s="966"/>
      <c r="L152" s="966"/>
      <c r="N152" s="966"/>
      <c r="P152" s="1086"/>
    </row>
    <row r="153" spans="1:16" s="961" customFormat="1">
      <c r="A153" s="1101"/>
      <c r="B153" s="1005"/>
      <c r="C153" s="1005"/>
      <c r="D153" s="983"/>
      <c r="E153" s="1100"/>
      <c r="F153" s="966"/>
      <c r="H153" s="966"/>
      <c r="J153" s="966"/>
      <c r="L153" s="966"/>
      <c r="N153" s="966"/>
      <c r="P153" s="1086"/>
    </row>
    <row r="154" spans="1:16" s="961" customFormat="1">
      <c r="A154" s="1101" t="s">
        <v>325</v>
      </c>
      <c r="B154" s="1005"/>
      <c r="C154" s="1005"/>
      <c r="D154" s="983" t="s">
        <v>15</v>
      </c>
      <c r="E154" s="1035">
        <v>350000</v>
      </c>
      <c r="F154" s="966"/>
      <c r="H154" s="966"/>
      <c r="J154" s="966"/>
      <c r="L154" s="966"/>
      <c r="N154" s="966"/>
      <c r="P154" s="1086"/>
    </row>
    <row r="155" spans="1:16" s="961" customFormat="1" ht="15.75">
      <c r="A155" s="1068" t="s">
        <v>323</v>
      </c>
      <c r="B155" s="1005"/>
      <c r="C155" s="1005"/>
      <c r="D155" s="983"/>
      <c r="E155" s="1103">
        <v>1020000</v>
      </c>
      <c r="F155" s="966"/>
      <c r="H155" s="966"/>
      <c r="J155" s="966"/>
      <c r="L155" s="966"/>
      <c r="N155" s="966"/>
      <c r="P155" s="1086"/>
    </row>
    <row r="156" spans="1:16" s="961" customFormat="1">
      <c r="A156" s="1370" t="s">
        <v>64</v>
      </c>
      <c r="B156" s="1371"/>
      <c r="C156" s="1005"/>
      <c r="D156" s="983" t="s">
        <v>15</v>
      </c>
      <c r="E156" s="1035">
        <f>SUM(E154:E155)</f>
        <v>1370000</v>
      </c>
      <c r="F156" s="966"/>
      <c r="H156" s="966"/>
      <c r="J156" s="966"/>
      <c r="L156" s="966"/>
      <c r="N156" s="966"/>
      <c r="P156" s="1086"/>
    </row>
    <row r="157" spans="1:16" s="961" customFormat="1">
      <c r="A157" s="1104"/>
      <c r="B157" s="1105"/>
      <c r="C157" s="1105"/>
      <c r="D157" s="1106"/>
      <c r="E157" s="1107"/>
      <c r="F157" s="966"/>
      <c r="H157" s="966"/>
      <c r="J157" s="966"/>
      <c r="L157" s="966"/>
      <c r="N157" s="966"/>
      <c r="P157" s="1086"/>
    </row>
    <row r="158" spans="1:16" s="961" customFormat="1">
      <c r="D158" s="966"/>
      <c r="F158" s="966"/>
      <c r="H158" s="966"/>
      <c r="J158" s="966"/>
      <c r="L158" s="966"/>
      <c r="N158" s="966"/>
      <c r="P158" s="1086"/>
    </row>
    <row r="159" spans="1:16" s="961" customFormat="1">
      <c r="D159" s="966"/>
      <c r="F159" s="966"/>
      <c r="H159" s="966"/>
      <c r="J159" s="966"/>
      <c r="L159" s="966"/>
      <c r="N159" s="966"/>
      <c r="P159" s="1086"/>
    </row>
    <row r="160" spans="1:16" s="961" customFormat="1">
      <c r="D160" s="966"/>
      <c r="F160" s="966"/>
      <c r="H160" s="966"/>
      <c r="J160" s="966"/>
      <c r="L160" s="966"/>
      <c r="N160" s="966"/>
      <c r="P160" s="1086"/>
    </row>
    <row r="161" spans="1:16" s="961" customFormat="1">
      <c r="D161" s="966"/>
      <c r="F161" s="966"/>
      <c r="H161" s="966"/>
      <c r="J161" s="966"/>
      <c r="L161" s="966"/>
      <c r="N161" s="966"/>
      <c r="P161" s="1086"/>
    </row>
    <row r="175" spans="1:16">
      <c r="A175" s="265"/>
    </row>
    <row r="180" spans="1:5">
      <c r="A180" s="134" t="s">
        <v>324</v>
      </c>
      <c r="B180" s="92"/>
      <c r="C180" s="92"/>
      <c r="D180" s="116"/>
      <c r="E180" s="115"/>
    </row>
    <row r="181" spans="1:5">
      <c r="A181" s="1324" t="s">
        <v>60</v>
      </c>
      <c r="B181" s="1311"/>
      <c r="C181" s="108"/>
      <c r="D181" s="111"/>
      <c r="E181" s="98"/>
    </row>
    <row r="182" spans="1:5">
      <c r="A182" s="101" t="s">
        <v>233</v>
      </c>
      <c r="B182" s="108"/>
      <c r="C182" s="108"/>
      <c r="D182" s="111"/>
      <c r="E182" s="135" t="s">
        <v>300</v>
      </c>
    </row>
    <row r="183" spans="1:5">
      <c r="A183" s="101"/>
      <c r="B183" s="108"/>
      <c r="C183" s="108"/>
      <c r="D183" s="111"/>
      <c r="E183" s="98"/>
    </row>
    <row r="184" spans="1:5">
      <c r="A184" s="101" t="s">
        <v>325</v>
      </c>
      <c r="B184" s="108"/>
      <c r="C184" s="108"/>
      <c r="D184" s="111" t="s">
        <v>15</v>
      </c>
      <c r="E184" s="7">
        <v>350000</v>
      </c>
    </row>
    <row r="185" spans="1:5" ht="15.75">
      <c r="A185" s="136" t="s">
        <v>323</v>
      </c>
      <c r="B185" s="108"/>
      <c r="C185" s="108"/>
      <c r="D185" s="111"/>
      <c r="E185" s="137">
        <v>1020000</v>
      </c>
    </row>
    <row r="186" spans="1:5">
      <c r="A186" s="1320" t="s">
        <v>64</v>
      </c>
      <c r="B186" s="1321"/>
      <c r="C186" s="108"/>
      <c r="D186" s="111" t="s">
        <v>15</v>
      </c>
      <c r="E186" s="7">
        <f>SUM(E184:E185)</f>
        <v>1370000</v>
      </c>
    </row>
    <row r="187" spans="1:5">
      <c r="A187" s="138"/>
      <c r="B187" s="90"/>
      <c r="C187" s="90"/>
      <c r="D187" s="139"/>
      <c r="E187" s="112"/>
    </row>
    <row r="189" spans="1:5">
      <c r="A189" s="134" t="s">
        <v>324</v>
      </c>
      <c r="B189" s="92"/>
      <c r="C189" s="92"/>
      <c r="D189" s="116"/>
      <c r="E189" s="115"/>
    </row>
    <row r="190" spans="1:5">
      <c r="A190" s="1324" t="s">
        <v>60</v>
      </c>
      <c r="B190" s="1311"/>
      <c r="C190" s="108"/>
      <c r="D190" s="111"/>
      <c r="E190" s="98"/>
    </row>
    <row r="191" spans="1:5">
      <c r="A191" s="101" t="s">
        <v>233</v>
      </c>
      <c r="B191" s="108"/>
      <c r="C191" s="108"/>
      <c r="D191" s="111"/>
      <c r="E191" s="135" t="s">
        <v>300</v>
      </c>
    </row>
    <row r="192" spans="1:5">
      <c r="A192" s="101"/>
      <c r="B192" s="108"/>
      <c r="C192" s="108"/>
      <c r="D192" s="111"/>
      <c r="E192" s="98"/>
    </row>
    <row r="193" spans="1:5">
      <c r="A193" s="101" t="s">
        <v>325</v>
      </c>
      <c r="B193" s="108"/>
      <c r="C193" s="108"/>
      <c r="D193" s="111" t="s">
        <v>15</v>
      </c>
      <c r="E193" s="7">
        <v>700000</v>
      </c>
    </row>
    <row r="194" spans="1:5" ht="15.75">
      <c r="A194" s="136" t="s">
        <v>323</v>
      </c>
      <c r="B194" s="108"/>
      <c r="C194" s="108"/>
      <c r="D194" s="111"/>
      <c r="E194" s="137">
        <v>240000</v>
      </c>
    </row>
    <row r="195" spans="1:5">
      <c r="A195" s="1320" t="s">
        <v>64</v>
      </c>
      <c r="B195" s="1321"/>
      <c r="C195" s="108"/>
      <c r="D195" s="111" t="s">
        <v>15</v>
      </c>
      <c r="E195" s="7">
        <f>SUM(E193:E194)</f>
        <v>940000</v>
      </c>
    </row>
    <row r="196" spans="1:5">
      <c r="A196" s="138"/>
      <c r="B196" s="90"/>
      <c r="C196" s="90"/>
      <c r="D196" s="139"/>
      <c r="E196" s="112"/>
    </row>
    <row r="198" spans="1:5">
      <c r="A198" s="1357" t="s">
        <v>322</v>
      </c>
      <c r="B198" s="1358"/>
      <c r="C198" s="1358"/>
      <c r="D198" s="1358"/>
      <c r="E198" s="1359"/>
    </row>
    <row r="199" spans="1:5">
      <c r="A199" s="181"/>
      <c r="B199" s="92"/>
      <c r="C199" s="92"/>
      <c r="D199" s="116"/>
      <c r="E199" s="115"/>
    </row>
    <row r="200" spans="1:5">
      <c r="A200" s="1324" t="s">
        <v>60</v>
      </c>
      <c r="B200" s="1311"/>
      <c r="C200" s="108"/>
      <c r="D200" s="111"/>
      <c r="E200" s="98"/>
    </row>
    <row r="201" spans="1:5">
      <c r="A201" s="101" t="s">
        <v>233</v>
      </c>
      <c r="B201" s="108"/>
      <c r="C201" s="108"/>
      <c r="D201" s="111"/>
      <c r="E201" s="135" t="s">
        <v>300</v>
      </c>
    </row>
    <row r="202" spans="1:5">
      <c r="A202" s="101"/>
      <c r="B202" s="108"/>
      <c r="C202" s="108"/>
      <c r="D202" s="111"/>
      <c r="E202" s="98"/>
    </row>
    <row r="203" spans="1:5">
      <c r="A203" s="136" t="s">
        <v>61</v>
      </c>
      <c r="B203" s="108"/>
      <c r="C203" s="108"/>
      <c r="D203" s="111" t="s">
        <v>15</v>
      </c>
      <c r="E203" s="7">
        <v>181000</v>
      </c>
    </row>
    <row r="204" spans="1:5">
      <c r="A204" s="136" t="s">
        <v>76</v>
      </c>
      <c r="B204" s="108"/>
      <c r="C204" s="108"/>
      <c r="D204" s="111"/>
      <c r="E204" s="7">
        <v>287000</v>
      </c>
    </row>
    <row r="205" spans="1:5" ht="15.75">
      <c r="A205" s="136" t="s">
        <v>323</v>
      </c>
      <c r="B205" s="108"/>
      <c r="C205" s="108"/>
      <c r="D205" s="111"/>
      <c r="E205" s="137">
        <v>930000</v>
      </c>
    </row>
    <row r="206" spans="1:5">
      <c r="A206" s="1347" t="s">
        <v>64</v>
      </c>
      <c r="B206" s="1348"/>
      <c r="C206" s="90"/>
      <c r="D206" s="139" t="s">
        <v>15</v>
      </c>
      <c r="E206" s="105">
        <f>SUM(E203:E205)</f>
        <v>1398000</v>
      </c>
    </row>
  </sheetData>
  <sheetProtection algorithmName="SHA-512" hashValue="E8w1RC0aiL01zlFuzcyIf0J5GZLh0gwWqDCOucRBocAPrymqN92Zd/7D9caAweWBM5CHGwDDvy8ipdNrUNYO/Q==" saltValue="M0AIliAw/T2vlV7n32HLig==" spinCount="100000" sheet="1" objects="1" scenarios="1"/>
  <mergeCells count="37">
    <mergeCell ref="A40:B40"/>
    <mergeCell ref="H12:I12"/>
    <mergeCell ref="D13:E13"/>
    <mergeCell ref="F13:G13"/>
    <mergeCell ref="H13:I13"/>
    <mergeCell ref="A95:B95"/>
    <mergeCell ref="I96:M96"/>
    <mergeCell ref="D11:E11"/>
    <mergeCell ref="F11:K11"/>
    <mergeCell ref="L11:M11"/>
    <mergeCell ref="A67:B67"/>
    <mergeCell ref="I95:M95"/>
    <mergeCell ref="C96:G96"/>
    <mergeCell ref="A88:B88"/>
    <mergeCell ref="A90:B90"/>
    <mergeCell ref="J12:K13"/>
    <mergeCell ref="A12:B12"/>
    <mergeCell ref="F12:G12"/>
    <mergeCell ref="D12:E12"/>
    <mergeCell ref="L12:M12"/>
    <mergeCell ref="L13:M13"/>
    <mergeCell ref="N11:O13"/>
    <mergeCell ref="A3:M3"/>
    <mergeCell ref="A4:M4"/>
    <mergeCell ref="A206:B206"/>
    <mergeCell ref="A181:B181"/>
    <mergeCell ref="A186:B186"/>
    <mergeCell ref="A190:B190"/>
    <mergeCell ref="A195:B195"/>
    <mergeCell ref="A198:E198"/>
    <mergeCell ref="A200:B200"/>
    <mergeCell ref="A156:B156"/>
    <mergeCell ref="C95:G95"/>
    <mergeCell ref="A151:B151"/>
    <mergeCell ref="A96:B96"/>
    <mergeCell ref="A104:B104"/>
    <mergeCell ref="A99:B99"/>
  </mergeCells>
  <pageMargins left="7.8740157480315001E-2" right="7.8740157480315001E-2" top="1" bottom="0.9" header="0.511811023622047" footer="0.511811023622047"/>
  <pageSetup paperSize="14" orientation="portrait" verticalDpi="300" r:id="rId1"/>
  <headerFooter alignWithMargins="0">
    <oddHeader>&amp;RPage &amp;P of 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V171"/>
  <sheetViews>
    <sheetView topLeftCell="A73" zoomScale="160" zoomScaleNormal="160" workbookViewId="0">
      <selection activeCell="N22" sqref="N22"/>
    </sheetView>
  </sheetViews>
  <sheetFormatPr defaultColWidth="9.140625" defaultRowHeight="13.5"/>
  <cols>
    <col min="1" max="1" width="8.5703125" style="86" customWidth="1"/>
    <col min="2" max="2" width="25.140625" style="86" customWidth="1"/>
    <col min="3" max="3" width="8.28515625" style="86" customWidth="1"/>
    <col min="4" max="4" width="1.42578125" style="87" customWidth="1"/>
    <col min="5" max="5" width="10.85546875" style="86" customWidth="1"/>
    <col min="6" max="6" width="1.5703125" style="87" customWidth="1"/>
    <col min="7" max="7" width="10" style="86" customWidth="1"/>
    <col min="8" max="8" width="1.7109375" style="87" customWidth="1"/>
    <col min="9" max="9" width="10.85546875" style="86" bestFit="1" customWidth="1"/>
    <col min="10" max="10" width="2.140625" style="87" customWidth="1"/>
    <col min="11" max="11" width="10.85546875" style="86" customWidth="1"/>
    <col min="12" max="12" width="2.140625" style="87" customWidth="1"/>
    <col min="13" max="13" width="11" style="86" customWidth="1"/>
    <col min="14" max="14" width="0.140625" style="966" hidden="1" customWidth="1"/>
    <col min="15" max="15" width="10" style="961" hidden="1" customWidth="1"/>
    <col min="16" max="16" width="11.28515625" style="961" hidden="1" customWidth="1"/>
    <col min="17" max="17" width="11.42578125" style="990" customWidth="1"/>
    <col min="18" max="18" width="9.140625" style="961"/>
    <col min="19" max="16384" width="9.140625" style="86"/>
  </cols>
  <sheetData>
    <row r="1" spans="1:20">
      <c r="A1" s="86" t="s">
        <v>186</v>
      </c>
    </row>
    <row r="2" spans="1:20" ht="5.25" customHeight="1"/>
    <row r="3" spans="1:20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986"/>
      <c r="O3" s="986"/>
      <c r="P3" s="962"/>
      <c r="Q3" s="1109"/>
      <c r="R3" s="962"/>
      <c r="S3" s="88"/>
      <c r="T3" s="88"/>
    </row>
    <row r="4" spans="1:20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986"/>
      <c r="O4" s="986"/>
      <c r="P4" s="962"/>
      <c r="Q4" s="1109"/>
      <c r="R4" s="962"/>
      <c r="S4" s="88"/>
      <c r="T4" s="88"/>
    </row>
    <row r="5" spans="1:20" ht="4.5" customHeight="1"/>
    <row r="6" spans="1:20">
      <c r="A6" s="89" t="s">
        <v>85</v>
      </c>
      <c r="B6" s="90" t="s">
        <v>458</v>
      </c>
      <c r="C6" s="90"/>
    </row>
    <row r="7" spans="1:20" ht="13.5" hidden="1" customHeight="1">
      <c r="A7" s="86" t="s">
        <v>2</v>
      </c>
      <c r="B7" s="91" t="s">
        <v>459</v>
      </c>
      <c r="C7" s="91"/>
      <c r="F7" s="804"/>
      <c r="G7" s="804"/>
      <c r="H7" s="804"/>
      <c r="I7" s="804"/>
      <c r="J7" s="804"/>
      <c r="K7" s="804"/>
      <c r="L7" s="804"/>
      <c r="M7" s="804"/>
      <c r="N7" s="1034"/>
      <c r="O7" s="1034"/>
    </row>
    <row r="8" spans="1:20" ht="13.5" hidden="1" customHeight="1">
      <c r="A8" s="108" t="s">
        <v>3</v>
      </c>
      <c r="B8" s="91" t="s">
        <v>460</v>
      </c>
      <c r="C8" s="91"/>
      <c r="F8" s="133"/>
      <c r="G8" s="133"/>
      <c r="H8" s="133"/>
      <c r="I8" s="133"/>
      <c r="J8" s="133"/>
      <c r="K8" s="133"/>
      <c r="L8" s="133"/>
      <c r="M8" s="133"/>
      <c r="N8" s="987"/>
      <c r="O8" s="987"/>
    </row>
    <row r="9" spans="1:20" ht="13.5" hidden="1" customHeight="1">
      <c r="A9" s="108" t="s">
        <v>4</v>
      </c>
      <c r="B9" s="91" t="s">
        <v>404</v>
      </c>
      <c r="C9" s="91"/>
    </row>
    <row r="10" spans="1:20" ht="8.25" customHeight="1">
      <c r="A10" s="108"/>
      <c r="B10" s="92"/>
      <c r="C10" s="92"/>
    </row>
    <row r="11" spans="1:20">
      <c r="A11" s="93"/>
      <c r="B11" s="94"/>
      <c r="C11" s="2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328" t="s">
        <v>494</v>
      </c>
      <c r="O11" s="1329"/>
    </row>
    <row r="12" spans="1:20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330"/>
      <c r="O12" s="1331"/>
    </row>
    <row r="13" spans="1:20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332"/>
      <c r="O13" s="1333"/>
    </row>
    <row r="14" spans="1:20">
      <c r="A14" s="97" t="s">
        <v>281</v>
      </c>
      <c r="B14" s="98"/>
      <c r="C14" s="99"/>
      <c r="D14" s="100"/>
      <c r="E14" s="7"/>
      <c r="F14" s="100"/>
      <c r="G14" s="7"/>
      <c r="H14" s="100"/>
      <c r="I14" s="7"/>
      <c r="J14" s="100"/>
      <c r="K14" s="7"/>
      <c r="L14" s="100"/>
      <c r="M14" s="7"/>
      <c r="N14" s="971"/>
      <c r="O14" s="1035"/>
    </row>
    <row r="15" spans="1:20">
      <c r="A15" s="101" t="s">
        <v>262</v>
      </c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  <c r="N15" s="971"/>
      <c r="O15" s="1035"/>
    </row>
    <row r="16" spans="1:20">
      <c r="A16" s="101" t="s">
        <v>263</v>
      </c>
      <c r="B16" s="98"/>
      <c r="C16" s="102" t="s">
        <v>114</v>
      </c>
      <c r="D16" s="100" t="s">
        <v>15</v>
      </c>
      <c r="E16" s="7">
        <v>2449540.25</v>
      </c>
      <c r="F16" s="100" t="s">
        <v>15</v>
      </c>
      <c r="G16" s="7">
        <v>1270830</v>
      </c>
      <c r="H16" s="100" t="s">
        <v>15</v>
      </c>
      <c r="I16" s="7">
        <f>K16-G16</f>
        <v>1269282</v>
      </c>
      <c r="J16" s="100" t="s">
        <v>15</v>
      </c>
      <c r="K16" s="7">
        <v>2540112</v>
      </c>
      <c r="L16" s="100" t="s">
        <v>15</v>
      </c>
      <c r="M16" s="7">
        <v>3369576</v>
      </c>
      <c r="N16" s="973" t="s">
        <v>15</v>
      </c>
      <c r="O16" s="1036">
        <v>0</v>
      </c>
    </row>
    <row r="17" spans="1:16">
      <c r="A17" s="101" t="s">
        <v>264</v>
      </c>
      <c r="B17" s="98"/>
      <c r="C17" s="102" t="s">
        <v>115</v>
      </c>
      <c r="D17" s="100"/>
      <c r="E17" s="7">
        <v>858793.01</v>
      </c>
      <c r="F17" s="100"/>
      <c r="G17" s="7">
        <v>449448.9</v>
      </c>
      <c r="H17" s="100"/>
      <c r="I17" s="7">
        <f t="shared" ref="I17:I38" si="0">K17-G17</f>
        <v>512747.1</v>
      </c>
      <c r="J17" s="100"/>
      <c r="K17" s="7">
        <v>962196</v>
      </c>
      <c r="L17" s="100"/>
      <c r="M17" s="7">
        <v>1124124</v>
      </c>
      <c r="N17" s="975"/>
      <c r="O17" s="996">
        <v>0</v>
      </c>
    </row>
    <row r="18" spans="1:16">
      <c r="A18" s="101" t="s">
        <v>265</v>
      </c>
      <c r="B18" s="98"/>
      <c r="C18" s="102"/>
      <c r="D18" s="100"/>
      <c r="E18" s="7"/>
      <c r="F18" s="100"/>
      <c r="G18" s="7"/>
      <c r="H18" s="100"/>
      <c r="I18" s="7"/>
      <c r="J18" s="100"/>
      <c r="K18" s="7"/>
      <c r="L18" s="100"/>
      <c r="M18" s="7"/>
      <c r="N18" s="975"/>
      <c r="O18" s="996"/>
      <c r="P18" s="963"/>
    </row>
    <row r="19" spans="1:16">
      <c r="A19" s="101" t="s">
        <v>266</v>
      </c>
      <c r="B19" s="98"/>
      <c r="C19" s="102" t="s">
        <v>116</v>
      </c>
      <c r="D19" s="100"/>
      <c r="E19" s="7">
        <v>262637.09000000003</v>
      </c>
      <c r="F19" s="100"/>
      <c r="G19" s="7">
        <v>139269.54999999999</v>
      </c>
      <c r="H19" s="100"/>
      <c r="I19" s="7">
        <f t="shared" si="0"/>
        <v>148730.45000000001</v>
      </c>
      <c r="J19" s="100"/>
      <c r="K19" s="7">
        <v>288000</v>
      </c>
      <c r="L19" s="100"/>
      <c r="M19" s="7">
        <v>408000</v>
      </c>
      <c r="N19" s="975"/>
      <c r="O19" s="996">
        <v>0</v>
      </c>
    </row>
    <row r="20" spans="1:16">
      <c r="A20" s="101" t="s">
        <v>267</v>
      </c>
      <c r="B20" s="98"/>
      <c r="C20" s="102" t="s">
        <v>117</v>
      </c>
      <c r="D20" s="100"/>
      <c r="E20" s="7">
        <v>81000</v>
      </c>
      <c r="F20" s="100"/>
      <c r="G20" s="7">
        <v>40500</v>
      </c>
      <c r="H20" s="100"/>
      <c r="I20" s="7">
        <f t="shared" si="0"/>
        <v>40500</v>
      </c>
      <c r="J20" s="100"/>
      <c r="K20" s="7">
        <v>81000</v>
      </c>
      <c r="L20" s="100"/>
      <c r="M20" s="7">
        <v>81000</v>
      </c>
      <c r="N20" s="975"/>
      <c r="O20" s="996">
        <v>0</v>
      </c>
    </row>
    <row r="21" spans="1:16">
      <c r="A21" s="101" t="s">
        <v>268</v>
      </c>
      <c r="B21" s="106"/>
      <c r="C21" s="102" t="s">
        <v>118</v>
      </c>
      <c r="D21" s="100"/>
      <c r="E21" s="7">
        <v>81000</v>
      </c>
      <c r="F21" s="100"/>
      <c r="G21" s="7">
        <v>40500</v>
      </c>
      <c r="H21" s="100"/>
      <c r="I21" s="7">
        <f t="shared" si="0"/>
        <v>40500</v>
      </c>
      <c r="J21" s="100"/>
      <c r="K21" s="7">
        <v>81000</v>
      </c>
      <c r="L21" s="100"/>
      <c r="M21" s="7">
        <v>81000</v>
      </c>
      <c r="N21" s="975"/>
      <c r="O21" s="996">
        <v>0</v>
      </c>
    </row>
    <row r="22" spans="1:16">
      <c r="A22" s="101" t="s">
        <v>269</v>
      </c>
      <c r="B22" s="106"/>
      <c r="C22" s="102" t="s">
        <v>119</v>
      </c>
      <c r="D22" s="100"/>
      <c r="E22" s="7">
        <v>66000</v>
      </c>
      <c r="F22" s="100"/>
      <c r="G22" s="7">
        <v>72000</v>
      </c>
      <c r="H22" s="100"/>
      <c r="I22" s="7">
        <f t="shared" si="0"/>
        <v>0</v>
      </c>
      <c r="J22" s="100"/>
      <c r="K22" s="7">
        <v>72000</v>
      </c>
      <c r="L22" s="100"/>
      <c r="M22" s="7">
        <v>102000</v>
      </c>
      <c r="N22" s="975"/>
      <c r="O22" s="996">
        <v>0</v>
      </c>
    </row>
    <row r="23" spans="1:16">
      <c r="A23" s="101" t="s">
        <v>288</v>
      </c>
      <c r="B23" s="106"/>
      <c r="C23" s="102" t="s">
        <v>157</v>
      </c>
      <c r="D23" s="100"/>
      <c r="E23" s="7">
        <v>54000</v>
      </c>
      <c r="F23" s="100"/>
      <c r="G23" s="7">
        <v>27000</v>
      </c>
      <c r="H23" s="100"/>
      <c r="I23" s="7">
        <f t="shared" si="0"/>
        <v>45000</v>
      </c>
      <c r="J23" s="100"/>
      <c r="K23" s="7">
        <v>72000</v>
      </c>
      <c r="L23" s="100"/>
      <c r="M23" s="7">
        <v>54000</v>
      </c>
      <c r="N23" s="975"/>
      <c r="O23" s="996">
        <v>0</v>
      </c>
    </row>
    <row r="24" spans="1:16">
      <c r="A24" s="101" t="s">
        <v>290</v>
      </c>
      <c r="B24" s="106"/>
      <c r="C24" s="102" t="s">
        <v>159</v>
      </c>
      <c r="D24" s="100"/>
      <c r="E24" s="7">
        <v>465927.6</v>
      </c>
      <c r="F24" s="100"/>
      <c r="G24" s="7">
        <v>251406</v>
      </c>
      <c r="H24" s="100"/>
      <c r="I24" s="7">
        <f t="shared" si="0"/>
        <v>449056</v>
      </c>
      <c r="J24" s="100"/>
      <c r="K24" s="7">
        <v>700462</v>
      </c>
      <c r="L24" s="100"/>
      <c r="M24" s="7">
        <v>898740</v>
      </c>
      <c r="N24" s="975"/>
      <c r="O24" s="996">
        <v>0</v>
      </c>
    </row>
    <row r="25" spans="1:16">
      <c r="A25" s="101" t="s">
        <v>270</v>
      </c>
      <c r="B25" s="106"/>
      <c r="C25" s="102" t="s">
        <v>120</v>
      </c>
      <c r="D25" s="100"/>
      <c r="E25" s="7">
        <v>55500</v>
      </c>
      <c r="F25" s="100"/>
      <c r="G25" s="7">
        <v>0</v>
      </c>
      <c r="H25" s="100"/>
      <c r="I25" s="7">
        <f t="shared" si="0"/>
        <v>60000</v>
      </c>
      <c r="J25" s="100"/>
      <c r="K25" s="7">
        <v>60000</v>
      </c>
      <c r="L25" s="100"/>
      <c r="M25" s="7">
        <v>85000</v>
      </c>
      <c r="N25" s="975"/>
      <c r="O25" s="996">
        <v>0</v>
      </c>
    </row>
    <row r="26" spans="1:16">
      <c r="A26" s="101" t="s">
        <v>271</v>
      </c>
      <c r="B26" s="98"/>
      <c r="C26" s="102" t="s">
        <v>121</v>
      </c>
      <c r="D26" s="100"/>
      <c r="E26" s="7">
        <v>269695.58</v>
      </c>
      <c r="F26" s="100"/>
      <c r="G26" s="7">
        <v>0</v>
      </c>
      <c r="H26" s="100"/>
      <c r="I26" s="7">
        <f t="shared" si="0"/>
        <v>291859</v>
      </c>
      <c r="J26" s="100"/>
      <c r="K26" s="7">
        <v>291859</v>
      </c>
      <c r="L26" s="100"/>
      <c r="M26" s="7">
        <v>374475</v>
      </c>
      <c r="N26" s="975"/>
      <c r="O26" s="996">
        <v>0</v>
      </c>
    </row>
    <row r="27" spans="1:16">
      <c r="A27" s="101" t="s">
        <v>278</v>
      </c>
      <c r="B27" s="108"/>
      <c r="C27" s="102" t="s">
        <v>258</v>
      </c>
      <c r="D27" s="100"/>
      <c r="E27" s="7"/>
      <c r="F27" s="100"/>
      <c r="G27" s="7"/>
      <c r="H27" s="100"/>
      <c r="I27" s="7"/>
      <c r="J27" s="100"/>
      <c r="K27" s="7"/>
      <c r="L27" s="100"/>
      <c r="M27" s="7"/>
      <c r="N27" s="975"/>
      <c r="O27" s="996"/>
    </row>
    <row r="28" spans="1:16">
      <c r="A28" s="101" t="s">
        <v>279</v>
      </c>
      <c r="B28" s="108"/>
      <c r="C28" s="102"/>
      <c r="D28" s="100"/>
      <c r="E28" s="7">
        <v>261222.56</v>
      </c>
      <c r="F28" s="100"/>
      <c r="G28" s="7">
        <v>291857.52</v>
      </c>
      <c r="H28" s="100"/>
      <c r="I28" s="7">
        <f>K28-G28</f>
        <v>1.4799999999813735</v>
      </c>
      <c r="J28" s="100"/>
      <c r="K28" s="7">
        <v>291859</v>
      </c>
      <c r="L28" s="100"/>
      <c r="M28" s="7">
        <v>374475</v>
      </c>
      <c r="N28" s="975"/>
      <c r="O28" s="996">
        <v>0</v>
      </c>
    </row>
    <row r="29" spans="1:16">
      <c r="A29" s="101" t="s">
        <v>280</v>
      </c>
      <c r="B29" s="108"/>
      <c r="C29" s="102"/>
      <c r="D29" s="100"/>
      <c r="E29" s="7">
        <v>0</v>
      </c>
      <c r="F29" s="100"/>
      <c r="G29" s="7">
        <v>33000</v>
      </c>
      <c r="H29" s="100"/>
      <c r="I29" s="7">
        <f>K29-G29</f>
        <v>3000</v>
      </c>
      <c r="J29" s="100"/>
      <c r="K29" s="7">
        <v>36000</v>
      </c>
      <c r="L29" s="100"/>
      <c r="M29" s="7">
        <v>0</v>
      </c>
      <c r="N29" s="975"/>
      <c r="O29" s="996">
        <v>0</v>
      </c>
    </row>
    <row r="30" spans="1:16">
      <c r="A30" s="101" t="s">
        <v>272</v>
      </c>
      <c r="B30" s="98"/>
      <c r="C30" s="102" t="s">
        <v>122</v>
      </c>
      <c r="D30" s="100"/>
      <c r="E30" s="7">
        <v>385893.83</v>
      </c>
      <c r="F30" s="100"/>
      <c r="G30" s="7">
        <v>209395.25</v>
      </c>
      <c r="H30" s="100"/>
      <c r="I30" s="7">
        <f t="shared" si="0"/>
        <v>210881.75</v>
      </c>
      <c r="J30" s="100"/>
      <c r="K30" s="7">
        <v>420277</v>
      </c>
      <c r="L30" s="100"/>
      <c r="M30" s="7">
        <v>539244</v>
      </c>
      <c r="N30" s="975"/>
      <c r="O30" s="996">
        <v>0</v>
      </c>
    </row>
    <row r="31" spans="1:16">
      <c r="A31" s="101" t="s">
        <v>273</v>
      </c>
      <c r="B31" s="98"/>
      <c r="C31" s="102" t="s">
        <v>123</v>
      </c>
      <c r="D31" s="100"/>
      <c r="E31" s="7">
        <v>64198.66</v>
      </c>
      <c r="F31" s="100"/>
      <c r="G31" s="7">
        <v>11430.84</v>
      </c>
      <c r="H31" s="100"/>
      <c r="I31" s="7">
        <f t="shared" si="0"/>
        <v>58661.16</v>
      </c>
      <c r="J31" s="100"/>
      <c r="K31" s="7">
        <v>70092</v>
      </c>
      <c r="L31" s="100"/>
      <c r="M31" s="7">
        <v>20400</v>
      </c>
      <c r="N31" s="975"/>
      <c r="O31" s="996">
        <v>0</v>
      </c>
    </row>
    <row r="32" spans="1:16">
      <c r="A32" s="101" t="s">
        <v>274</v>
      </c>
      <c r="B32" s="98"/>
      <c r="C32" s="102" t="s">
        <v>124</v>
      </c>
      <c r="D32" s="100"/>
      <c r="E32" s="7">
        <v>44919.54</v>
      </c>
      <c r="F32" s="100"/>
      <c r="G32" s="7">
        <v>25989.21</v>
      </c>
      <c r="H32" s="100"/>
      <c r="I32" s="7">
        <f t="shared" si="0"/>
        <v>44102.79</v>
      </c>
      <c r="J32" s="100"/>
      <c r="K32" s="7">
        <v>70092</v>
      </c>
      <c r="L32" s="100"/>
      <c r="M32" s="7">
        <v>101208</v>
      </c>
      <c r="N32" s="975"/>
      <c r="O32" s="996">
        <v>0</v>
      </c>
    </row>
    <row r="33" spans="1:17">
      <c r="A33" s="101" t="s">
        <v>275</v>
      </c>
      <c r="B33" s="98"/>
      <c r="C33" s="102" t="s">
        <v>125</v>
      </c>
      <c r="D33" s="100"/>
      <c r="E33" s="7">
        <v>13500</v>
      </c>
      <c r="F33" s="100"/>
      <c r="G33" s="7">
        <v>7200</v>
      </c>
      <c r="H33" s="100"/>
      <c r="I33" s="7">
        <f t="shared" si="0"/>
        <v>7200</v>
      </c>
      <c r="J33" s="100"/>
      <c r="K33" s="7">
        <v>14400</v>
      </c>
      <c r="L33" s="100"/>
      <c r="M33" s="7">
        <v>20400</v>
      </c>
      <c r="N33" s="975"/>
      <c r="O33" s="996">
        <v>0</v>
      </c>
    </row>
    <row r="34" spans="1:17">
      <c r="A34" s="101" t="s">
        <v>276</v>
      </c>
      <c r="B34" s="108"/>
      <c r="C34" s="102" t="s">
        <v>161</v>
      </c>
      <c r="D34" s="100"/>
      <c r="E34" s="7"/>
      <c r="F34" s="100"/>
      <c r="G34" s="7"/>
      <c r="H34" s="100"/>
      <c r="I34" s="7"/>
      <c r="J34" s="100"/>
      <c r="K34" s="7"/>
      <c r="L34" s="100"/>
      <c r="M34" s="7"/>
      <c r="N34" s="975"/>
      <c r="O34" s="996"/>
      <c r="P34" s="963"/>
    </row>
    <row r="35" spans="1:17">
      <c r="A35" s="101" t="s">
        <v>292</v>
      </c>
      <c r="B35" s="108"/>
      <c r="C35" s="102"/>
      <c r="D35" s="100"/>
      <c r="E35" s="7">
        <v>0</v>
      </c>
      <c r="F35" s="100"/>
      <c r="G35" s="7">
        <v>0</v>
      </c>
      <c r="H35" s="100"/>
      <c r="I35" s="7">
        <f>K35-G35</f>
        <v>0</v>
      </c>
      <c r="J35" s="100"/>
      <c r="K35" s="7">
        <v>0</v>
      </c>
      <c r="L35" s="100"/>
      <c r="M35" s="7">
        <v>248473</v>
      </c>
      <c r="N35" s="975"/>
      <c r="O35" s="996">
        <v>0</v>
      </c>
    </row>
    <row r="36" spans="1:17">
      <c r="A36" s="101" t="s">
        <v>260</v>
      </c>
      <c r="B36" s="108"/>
      <c r="C36" s="102"/>
      <c r="D36" s="100"/>
      <c r="E36" s="7">
        <v>56500</v>
      </c>
      <c r="F36" s="100"/>
      <c r="G36" s="7">
        <v>0</v>
      </c>
      <c r="H36" s="100"/>
      <c r="I36" s="7">
        <f t="shared" ref="I36" si="1">K36-G36</f>
        <v>60000</v>
      </c>
      <c r="J36" s="100"/>
      <c r="K36" s="7">
        <v>60000</v>
      </c>
      <c r="L36" s="100"/>
      <c r="M36" s="7">
        <v>85000</v>
      </c>
      <c r="N36" s="975"/>
      <c r="O36" s="996">
        <v>0</v>
      </c>
    </row>
    <row r="37" spans="1:17">
      <c r="A37" s="101" t="s">
        <v>764</v>
      </c>
      <c r="B37" s="108"/>
      <c r="C37" s="102"/>
      <c r="D37" s="100"/>
      <c r="E37" s="7">
        <v>0</v>
      </c>
      <c r="F37" s="100"/>
      <c r="G37" s="7">
        <v>0</v>
      </c>
      <c r="H37" s="100"/>
      <c r="I37" s="7">
        <f t="shared" si="0"/>
        <v>154721</v>
      </c>
      <c r="J37" s="100"/>
      <c r="K37" s="7">
        <v>154721</v>
      </c>
      <c r="L37" s="100"/>
      <c r="M37" s="7">
        <v>0</v>
      </c>
      <c r="N37" s="975"/>
      <c r="O37" s="996">
        <v>0</v>
      </c>
    </row>
    <row r="38" spans="1:17">
      <c r="A38" s="101" t="s">
        <v>259</v>
      </c>
      <c r="B38" s="108"/>
      <c r="C38" s="102"/>
      <c r="D38" s="100"/>
      <c r="E38" s="105">
        <v>0</v>
      </c>
      <c r="F38" s="100"/>
      <c r="G38" s="105">
        <v>5000</v>
      </c>
      <c r="H38" s="100"/>
      <c r="I38" s="7">
        <f t="shared" si="0"/>
        <v>0</v>
      </c>
      <c r="J38" s="100"/>
      <c r="K38" s="105">
        <v>5000</v>
      </c>
      <c r="L38" s="104"/>
      <c r="M38" s="105">
        <v>5000</v>
      </c>
      <c r="N38" s="975"/>
      <c r="O38" s="996">
        <v>0</v>
      </c>
      <c r="P38" s="963"/>
    </row>
    <row r="39" spans="1:17">
      <c r="A39" s="1325" t="s">
        <v>14</v>
      </c>
      <c r="B39" s="1326"/>
      <c r="C39" s="102"/>
      <c r="D39" s="144" t="s">
        <v>15</v>
      </c>
      <c r="E39" s="174">
        <f>SUM(E16:E38)</f>
        <v>5470328.1199999992</v>
      </c>
      <c r="F39" s="144" t="s">
        <v>15</v>
      </c>
      <c r="G39" s="174">
        <f>SUM(G16:G38)</f>
        <v>2874827.27</v>
      </c>
      <c r="H39" s="144" t="s">
        <v>15</v>
      </c>
      <c r="I39" s="174">
        <f>SUM(I16:I38)</f>
        <v>3396242.73</v>
      </c>
      <c r="J39" s="144" t="s">
        <v>15</v>
      </c>
      <c r="K39" s="174">
        <f>SUM(K16:K38)</f>
        <v>6271070</v>
      </c>
      <c r="L39" s="144" t="s">
        <v>15</v>
      </c>
      <c r="M39" s="174">
        <f>SUM(M16:M38)</f>
        <v>7972115</v>
      </c>
      <c r="N39" s="997" t="s">
        <v>15</v>
      </c>
      <c r="O39" s="1037">
        <f>SUM(O16:O38)</f>
        <v>0</v>
      </c>
    </row>
    <row r="40" spans="1:17">
      <c r="A40" s="97" t="s">
        <v>282</v>
      </c>
      <c r="B40" s="98"/>
      <c r="C40" s="102"/>
      <c r="D40" s="120"/>
      <c r="E40" s="117"/>
      <c r="F40" s="120"/>
      <c r="G40" s="117"/>
      <c r="H40" s="120"/>
      <c r="I40" s="117"/>
      <c r="J40" s="120"/>
      <c r="K40" s="117"/>
      <c r="L40" s="120"/>
      <c r="M40" s="117"/>
      <c r="N40" s="969"/>
      <c r="O40" s="970"/>
    </row>
    <row r="41" spans="1:17">
      <c r="A41" s="101" t="s">
        <v>41</v>
      </c>
      <c r="B41" s="98"/>
      <c r="C41" s="102" t="s">
        <v>126</v>
      </c>
      <c r="D41" s="100" t="s">
        <v>15</v>
      </c>
      <c r="E41" s="7">
        <v>214342</v>
      </c>
      <c r="F41" s="100" t="s">
        <v>15</v>
      </c>
      <c r="G41" s="7">
        <v>224000</v>
      </c>
      <c r="H41" s="100" t="s">
        <v>15</v>
      </c>
      <c r="I41" s="7">
        <f t="shared" ref="I41:I61" si="2">K41-G41</f>
        <v>416000</v>
      </c>
      <c r="J41" s="100" t="s">
        <v>15</v>
      </c>
      <c r="K41" s="7">
        <v>640000</v>
      </c>
      <c r="L41" s="100" t="s">
        <v>15</v>
      </c>
      <c r="M41" s="7">
        <v>448000</v>
      </c>
      <c r="N41" s="973" t="s">
        <v>15</v>
      </c>
      <c r="O41" s="1036">
        <f>M41-K41</f>
        <v>-192000</v>
      </c>
      <c r="P41" s="963">
        <f>O41-K41</f>
        <v>-832000</v>
      </c>
      <c r="Q41" s="990">
        <v>10000</v>
      </c>
    </row>
    <row r="42" spans="1:17">
      <c r="A42" s="101" t="s">
        <v>42</v>
      </c>
      <c r="B42" s="98"/>
      <c r="C42" s="102" t="s">
        <v>127</v>
      </c>
      <c r="D42" s="100"/>
      <c r="E42" s="157">
        <v>25000</v>
      </c>
      <c r="F42" s="100"/>
      <c r="G42" s="157">
        <v>20700</v>
      </c>
      <c r="H42" s="100"/>
      <c r="I42" s="7">
        <f t="shared" si="2"/>
        <v>411300</v>
      </c>
      <c r="J42" s="100"/>
      <c r="K42" s="7">
        <f>180000+252000</f>
        <v>432000</v>
      </c>
      <c r="L42" s="100"/>
      <c r="M42" s="7">
        <v>300000</v>
      </c>
      <c r="N42" s="975"/>
      <c r="O42" s="1036">
        <f t="shared" ref="O42:O57" si="3">M42-K42</f>
        <v>-132000</v>
      </c>
      <c r="P42" s="963">
        <f t="shared" ref="P42:P58" si="4">O42-K42</f>
        <v>-564000</v>
      </c>
    </row>
    <row r="43" spans="1:17">
      <c r="A43" s="101" t="s">
        <v>28</v>
      </c>
      <c r="B43" s="98"/>
      <c r="C43" s="102" t="s">
        <v>128</v>
      </c>
      <c r="D43" s="100"/>
      <c r="E43" s="7">
        <v>103385</v>
      </c>
      <c r="F43" s="100"/>
      <c r="G43" s="7">
        <v>4075</v>
      </c>
      <c r="H43" s="100"/>
      <c r="I43" s="7">
        <f t="shared" si="2"/>
        <v>311225</v>
      </c>
      <c r="J43" s="100"/>
      <c r="K43" s="7">
        <f>260000+55300</f>
        <v>315300</v>
      </c>
      <c r="L43" s="100"/>
      <c r="M43" s="7">
        <v>280000</v>
      </c>
      <c r="N43" s="975"/>
      <c r="O43" s="1036">
        <f t="shared" si="3"/>
        <v>-35300</v>
      </c>
      <c r="P43" s="963">
        <f t="shared" si="4"/>
        <v>-350600</v>
      </c>
      <c r="Q43" s="990">
        <f>15000+20000+5000</f>
        <v>40000</v>
      </c>
    </row>
    <row r="44" spans="1:17">
      <c r="A44" s="101" t="s">
        <v>130</v>
      </c>
      <c r="B44" s="98"/>
      <c r="C44" s="102" t="s">
        <v>129</v>
      </c>
      <c r="D44" s="100"/>
      <c r="E44" s="7">
        <v>74966.2</v>
      </c>
      <c r="F44" s="100"/>
      <c r="G44" s="7">
        <v>42192.4</v>
      </c>
      <c r="H44" s="100"/>
      <c r="I44" s="7">
        <f t="shared" si="2"/>
        <v>142807.6</v>
      </c>
      <c r="J44" s="100"/>
      <c r="K44" s="7">
        <v>185000</v>
      </c>
      <c r="L44" s="100"/>
      <c r="M44" s="7">
        <v>185000</v>
      </c>
      <c r="N44" s="975"/>
      <c r="O44" s="1036">
        <f t="shared" si="3"/>
        <v>0</v>
      </c>
      <c r="P44" s="963">
        <f t="shared" si="4"/>
        <v>-185000</v>
      </c>
    </row>
    <row r="45" spans="1:17">
      <c r="A45" s="101" t="s">
        <v>497</v>
      </c>
      <c r="B45" s="98"/>
      <c r="C45" s="102" t="s">
        <v>174</v>
      </c>
      <c r="D45" s="100"/>
      <c r="E45" s="7">
        <v>23415.25</v>
      </c>
      <c r="F45" s="100"/>
      <c r="G45" s="7">
        <v>13413.5</v>
      </c>
      <c r="H45" s="100"/>
      <c r="I45" s="7">
        <f t="shared" si="2"/>
        <v>71586.5</v>
      </c>
      <c r="J45" s="100"/>
      <c r="K45" s="7">
        <f>40000+21000+24000</f>
        <v>85000</v>
      </c>
      <c r="L45" s="100"/>
      <c r="M45" s="7">
        <v>85000</v>
      </c>
      <c r="N45" s="975"/>
      <c r="O45" s="1036">
        <f t="shared" si="3"/>
        <v>0</v>
      </c>
      <c r="P45" s="963">
        <f t="shared" si="4"/>
        <v>-85000</v>
      </c>
    </row>
    <row r="46" spans="1:17">
      <c r="A46" s="101" t="s">
        <v>132</v>
      </c>
      <c r="B46" s="98"/>
      <c r="C46" s="102" t="s">
        <v>131</v>
      </c>
      <c r="D46" s="100"/>
      <c r="E46" s="7">
        <v>0</v>
      </c>
      <c r="F46" s="100"/>
      <c r="G46" s="7">
        <v>0</v>
      </c>
      <c r="H46" s="100"/>
      <c r="I46" s="7">
        <f t="shared" si="2"/>
        <v>2000</v>
      </c>
      <c r="J46" s="100"/>
      <c r="K46" s="7">
        <v>2000</v>
      </c>
      <c r="L46" s="100"/>
      <c r="M46" s="7">
        <v>2000</v>
      </c>
      <c r="N46" s="975"/>
      <c r="O46" s="1036">
        <f t="shared" si="3"/>
        <v>0</v>
      </c>
      <c r="P46" s="963">
        <f t="shared" si="4"/>
        <v>-2000</v>
      </c>
    </row>
    <row r="47" spans="1:17">
      <c r="A47" s="101" t="s">
        <v>163</v>
      </c>
      <c r="B47" s="98"/>
      <c r="C47" s="102" t="s">
        <v>133</v>
      </c>
      <c r="D47" s="100"/>
      <c r="E47" s="7">
        <v>20434.62</v>
      </c>
      <c r="F47" s="100"/>
      <c r="G47" s="7">
        <v>12400</v>
      </c>
      <c r="H47" s="100"/>
      <c r="I47" s="7">
        <f t="shared" si="2"/>
        <v>27600</v>
      </c>
      <c r="J47" s="100"/>
      <c r="K47" s="7">
        <v>40000</v>
      </c>
      <c r="L47" s="100"/>
      <c r="M47" s="7">
        <v>40000</v>
      </c>
      <c r="N47" s="975"/>
      <c r="O47" s="1036">
        <f t="shared" si="3"/>
        <v>0</v>
      </c>
      <c r="P47" s="963">
        <f t="shared" si="4"/>
        <v>-40000</v>
      </c>
    </row>
    <row r="48" spans="1:17">
      <c r="A48" s="101" t="s">
        <v>479</v>
      </c>
      <c r="B48" s="98"/>
      <c r="C48" s="102" t="s">
        <v>134</v>
      </c>
      <c r="D48" s="100"/>
      <c r="E48" s="7">
        <v>34889</v>
      </c>
      <c r="F48" s="100"/>
      <c r="G48" s="7">
        <v>14027.4</v>
      </c>
      <c r="H48" s="100"/>
      <c r="I48" s="7">
        <f t="shared" si="2"/>
        <v>21972.6</v>
      </c>
      <c r="J48" s="100"/>
      <c r="K48" s="7">
        <v>36000</v>
      </c>
      <c r="L48" s="100"/>
      <c r="M48" s="7">
        <v>36000</v>
      </c>
      <c r="N48" s="975"/>
      <c r="O48" s="1036">
        <f t="shared" si="3"/>
        <v>0</v>
      </c>
      <c r="P48" s="963">
        <f t="shared" si="4"/>
        <v>-36000</v>
      </c>
    </row>
    <row r="49" spans="1:18">
      <c r="A49" s="101" t="s">
        <v>500</v>
      </c>
      <c r="B49" s="98"/>
      <c r="C49" s="102" t="s">
        <v>137</v>
      </c>
      <c r="D49" s="100"/>
      <c r="E49" s="7">
        <v>13216</v>
      </c>
      <c r="F49" s="100"/>
      <c r="G49" s="7">
        <v>0</v>
      </c>
      <c r="H49" s="100"/>
      <c r="I49" s="7">
        <f t="shared" si="2"/>
        <v>36000</v>
      </c>
      <c r="J49" s="100"/>
      <c r="K49" s="7">
        <v>36000</v>
      </c>
      <c r="L49" s="100"/>
      <c r="M49" s="7">
        <v>36000</v>
      </c>
      <c r="N49" s="975"/>
      <c r="O49" s="1036">
        <f t="shared" si="3"/>
        <v>0</v>
      </c>
      <c r="P49" s="963">
        <f t="shared" si="4"/>
        <v>-36000</v>
      </c>
      <c r="Q49" s="990">
        <v>5000</v>
      </c>
    </row>
    <row r="50" spans="1:18">
      <c r="A50" s="101" t="s">
        <v>31</v>
      </c>
      <c r="B50" s="98"/>
      <c r="C50" s="102" t="s">
        <v>146</v>
      </c>
      <c r="D50" s="100"/>
      <c r="E50" s="7">
        <v>3206672</v>
      </c>
      <c r="F50" s="100"/>
      <c r="G50" s="7">
        <v>2020900</v>
      </c>
      <c r="H50" s="100"/>
      <c r="I50" s="7">
        <f t="shared" si="2"/>
        <v>3979100</v>
      </c>
      <c r="J50" s="100"/>
      <c r="K50" s="7">
        <v>6000000</v>
      </c>
      <c r="L50" s="100"/>
      <c r="M50" s="7">
        <v>4617324</v>
      </c>
      <c r="N50" s="975"/>
      <c r="O50" s="1036">
        <f t="shared" si="3"/>
        <v>-1382676</v>
      </c>
      <c r="P50" s="963">
        <f t="shared" si="4"/>
        <v>-7382676</v>
      </c>
    </row>
    <row r="51" spans="1:18">
      <c r="A51" s="101" t="s">
        <v>1006</v>
      </c>
      <c r="B51" s="98"/>
      <c r="C51" s="102" t="s">
        <v>141</v>
      </c>
      <c r="D51" s="100"/>
      <c r="E51" s="7">
        <v>0</v>
      </c>
      <c r="F51" s="100"/>
      <c r="G51" s="7">
        <v>20400</v>
      </c>
      <c r="H51" s="100"/>
      <c r="I51" s="7">
        <f t="shared" ref="I51:I54" si="5">K51-G51</f>
        <v>79600</v>
      </c>
      <c r="J51" s="100"/>
      <c r="K51" s="7">
        <v>100000</v>
      </c>
      <c r="L51" s="100"/>
      <c r="M51" s="7">
        <v>100000</v>
      </c>
      <c r="N51" s="975"/>
      <c r="O51" s="1036">
        <f t="shared" si="3"/>
        <v>0</v>
      </c>
      <c r="P51" s="963">
        <f>O51-K51</f>
        <v>-100000</v>
      </c>
    </row>
    <row r="52" spans="1:18">
      <c r="A52" s="101" t="s">
        <v>496</v>
      </c>
      <c r="B52" s="98"/>
      <c r="C52" s="102" t="s">
        <v>144</v>
      </c>
      <c r="D52" s="100"/>
      <c r="E52" s="7">
        <v>84459</v>
      </c>
      <c r="F52" s="100"/>
      <c r="G52" s="7">
        <v>7680</v>
      </c>
      <c r="H52" s="100"/>
      <c r="I52" s="7">
        <f t="shared" ref="I52:I53" si="6">K52-G52</f>
        <v>177320</v>
      </c>
      <c r="J52" s="100"/>
      <c r="K52" s="7">
        <v>185000</v>
      </c>
      <c r="L52" s="100"/>
      <c r="M52" s="7">
        <v>185000</v>
      </c>
      <c r="N52" s="975"/>
      <c r="O52" s="1036">
        <f t="shared" si="3"/>
        <v>0</v>
      </c>
      <c r="P52" s="963">
        <f>O52-K52</f>
        <v>-185000</v>
      </c>
    </row>
    <row r="53" spans="1:18">
      <c r="A53" s="101" t="s">
        <v>1328</v>
      </c>
      <c r="B53" s="98"/>
      <c r="C53" s="102" t="s">
        <v>653</v>
      </c>
      <c r="D53" s="100"/>
      <c r="E53" s="7">
        <v>2400000</v>
      </c>
      <c r="F53" s="100"/>
      <c r="G53" s="7">
        <v>0</v>
      </c>
      <c r="H53" s="100"/>
      <c r="I53" s="7">
        <f t="shared" si="6"/>
        <v>0</v>
      </c>
      <c r="J53" s="100"/>
      <c r="K53" s="7">
        <v>0</v>
      </c>
      <c r="L53" s="100"/>
      <c r="M53" s="7">
        <v>1021000</v>
      </c>
      <c r="N53" s="975"/>
      <c r="O53" s="1036">
        <f t="shared" si="3"/>
        <v>1021000</v>
      </c>
      <c r="P53" s="963">
        <f>O53-K53</f>
        <v>1021000</v>
      </c>
    </row>
    <row r="54" spans="1:18">
      <c r="A54" s="101" t="s">
        <v>1329</v>
      </c>
      <c r="B54" s="98"/>
      <c r="C54" s="102" t="s">
        <v>1404</v>
      </c>
      <c r="D54" s="100"/>
      <c r="E54" s="7">
        <v>1200000</v>
      </c>
      <c r="F54" s="100"/>
      <c r="G54" s="7">
        <v>0</v>
      </c>
      <c r="H54" s="100"/>
      <c r="I54" s="7">
        <f t="shared" si="5"/>
        <v>0</v>
      </c>
      <c r="J54" s="100"/>
      <c r="K54" s="7">
        <v>0</v>
      </c>
      <c r="L54" s="100"/>
      <c r="M54" s="7">
        <v>0</v>
      </c>
      <c r="N54" s="975"/>
      <c r="O54" s="1036">
        <f t="shared" ref="O54" si="7">M54-K54</f>
        <v>0</v>
      </c>
      <c r="P54" s="963">
        <f>O54-K54</f>
        <v>0</v>
      </c>
    </row>
    <row r="55" spans="1:18">
      <c r="A55" s="101" t="s">
        <v>33</v>
      </c>
      <c r="B55" s="119"/>
      <c r="C55" s="102" t="s">
        <v>148</v>
      </c>
      <c r="D55" s="100"/>
      <c r="E55" s="157"/>
      <c r="F55" s="100"/>
      <c r="G55" s="157"/>
      <c r="H55" s="100"/>
      <c r="I55" s="7"/>
      <c r="J55" s="100"/>
      <c r="K55" s="7"/>
      <c r="L55" s="100"/>
      <c r="M55" s="7"/>
      <c r="N55" s="975"/>
      <c r="O55" s="996">
        <v>0</v>
      </c>
      <c r="P55" s="963">
        <f t="shared" si="4"/>
        <v>0</v>
      </c>
    </row>
    <row r="56" spans="1:18">
      <c r="A56" s="101"/>
      <c r="B56" s="98" t="s">
        <v>384</v>
      </c>
      <c r="C56" s="102"/>
      <c r="D56" s="100"/>
      <c r="E56" s="7">
        <v>189083.5</v>
      </c>
      <c r="F56" s="100"/>
      <c r="G56" s="7">
        <v>18799</v>
      </c>
      <c r="H56" s="100"/>
      <c r="I56" s="7">
        <f t="shared" si="2"/>
        <v>311201</v>
      </c>
      <c r="J56" s="100"/>
      <c r="K56" s="7">
        <v>330000</v>
      </c>
      <c r="L56" s="100"/>
      <c r="M56" s="7">
        <v>330000</v>
      </c>
      <c r="N56" s="975"/>
      <c r="O56" s="1036">
        <f t="shared" si="3"/>
        <v>0</v>
      </c>
      <c r="P56" s="963">
        <f t="shared" si="4"/>
        <v>-330000</v>
      </c>
    </row>
    <row r="57" spans="1:18">
      <c r="A57" s="101"/>
      <c r="B57" s="98" t="s">
        <v>385</v>
      </c>
      <c r="C57" s="102"/>
      <c r="D57" s="100"/>
      <c r="E57" s="7">
        <v>158600</v>
      </c>
      <c r="F57" s="100"/>
      <c r="G57" s="7">
        <v>705400</v>
      </c>
      <c r="H57" s="111"/>
      <c r="I57" s="7">
        <f t="shared" si="2"/>
        <v>1194600</v>
      </c>
      <c r="J57" s="100"/>
      <c r="K57" s="7">
        <v>1900000</v>
      </c>
      <c r="L57" s="100"/>
      <c r="M57" s="7">
        <v>1500000</v>
      </c>
      <c r="N57" s="975"/>
      <c r="O57" s="1036">
        <f t="shared" si="3"/>
        <v>-400000</v>
      </c>
      <c r="P57" s="963">
        <f t="shared" si="4"/>
        <v>-2300000</v>
      </c>
      <c r="Q57" s="990">
        <v>20000</v>
      </c>
    </row>
    <row r="58" spans="1:18">
      <c r="A58" s="101"/>
      <c r="B58" s="7" t="s">
        <v>743</v>
      </c>
      <c r="C58" s="102"/>
      <c r="D58" s="100"/>
      <c r="E58" s="157">
        <v>35695.550000000003</v>
      </c>
      <c r="F58" s="100"/>
      <c r="G58" s="7">
        <v>59000</v>
      </c>
      <c r="H58" s="111"/>
      <c r="I58" s="7">
        <f t="shared" si="2"/>
        <v>207000</v>
      </c>
      <c r="J58" s="111"/>
      <c r="K58" s="7">
        <f>100000+166000</f>
        <v>266000</v>
      </c>
      <c r="L58" s="100"/>
      <c r="M58" s="7">
        <v>151000</v>
      </c>
      <c r="N58" s="975"/>
      <c r="O58" s="1036">
        <f t="shared" ref="O58:O61" si="8">M58-K58</f>
        <v>-115000</v>
      </c>
      <c r="P58" s="963">
        <f t="shared" si="4"/>
        <v>-381000</v>
      </c>
      <c r="Q58" s="990">
        <f>37500+37500</f>
        <v>75000</v>
      </c>
    </row>
    <row r="59" spans="1:18">
      <c r="A59" s="101"/>
      <c r="B59" s="7" t="s">
        <v>510</v>
      </c>
      <c r="C59" s="102"/>
      <c r="D59" s="100"/>
      <c r="E59" s="157">
        <v>3000</v>
      </c>
      <c r="F59" s="100"/>
      <c r="G59" s="7">
        <v>0</v>
      </c>
      <c r="H59" s="111"/>
      <c r="I59" s="7">
        <f t="shared" si="2"/>
        <v>27500</v>
      </c>
      <c r="J59" s="111"/>
      <c r="K59" s="7">
        <v>27500</v>
      </c>
      <c r="L59" s="100"/>
      <c r="M59" s="7">
        <v>27500</v>
      </c>
      <c r="N59" s="975"/>
      <c r="O59" s="1036">
        <f t="shared" si="8"/>
        <v>0</v>
      </c>
      <c r="P59" s="963"/>
    </row>
    <row r="60" spans="1:18">
      <c r="A60" s="101"/>
      <c r="B60" s="7" t="s">
        <v>766</v>
      </c>
      <c r="C60" s="102"/>
      <c r="D60" s="100"/>
      <c r="E60" s="157">
        <v>17500</v>
      </c>
      <c r="F60" s="100"/>
      <c r="G60" s="7">
        <v>3500</v>
      </c>
      <c r="H60" s="111"/>
      <c r="I60" s="7">
        <f t="shared" si="2"/>
        <v>16500</v>
      </c>
      <c r="J60" s="111"/>
      <c r="K60" s="7">
        <v>20000</v>
      </c>
      <c r="L60" s="100"/>
      <c r="M60" s="7">
        <v>20000</v>
      </c>
      <c r="N60" s="975"/>
      <c r="O60" s="1036">
        <f t="shared" si="8"/>
        <v>0</v>
      </c>
      <c r="P60" s="963"/>
    </row>
    <row r="61" spans="1:18">
      <c r="A61" s="101"/>
      <c r="B61" s="7" t="s">
        <v>342</v>
      </c>
      <c r="C61" s="102"/>
      <c r="D61" s="100"/>
      <c r="E61" s="7">
        <v>370503.19</v>
      </c>
      <c r="F61" s="104"/>
      <c r="G61" s="105">
        <v>309037.56</v>
      </c>
      <c r="H61" s="139"/>
      <c r="I61" s="105">
        <f t="shared" si="2"/>
        <v>1779317.44</v>
      </c>
      <c r="J61" s="104"/>
      <c r="K61" s="105">
        <v>2088355</v>
      </c>
      <c r="L61" s="104"/>
      <c r="M61" s="105">
        <v>1548355</v>
      </c>
      <c r="N61" s="975"/>
      <c r="O61" s="1036">
        <f t="shared" si="8"/>
        <v>-540000</v>
      </c>
      <c r="P61" s="963"/>
    </row>
    <row r="62" spans="1:18" ht="18.75" customHeight="1">
      <c r="A62" s="1336" t="s">
        <v>13</v>
      </c>
      <c r="B62" s="1337"/>
      <c r="C62" s="113"/>
      <c r="D62" s="109" t="s">
        <v>15</v>
      </c>
      <c r="E62" s="110">
        <f>SUM(E41:E61)</f>
        <v>8175161.3100000005</v>
      </c>
      <c r="F62" s="109" t="s">
        <v>15</v>
      </c>
      <c r="G62" s="110">
        <f>SUM(G41:G61)</f>
        <v>3475524.86</v>
      </c>
      <c r="H62" s="109" t="s">
        <v>15</v>
      </c>
      <c r="I62" s="110">
        <f>SUM(I41:I61)</f>
        <v>9212630.1400000006</v>
      </c>
      <c r="J62" s="109" t="s">
        <v>15</v>
      </c>
      <c r="K62" s="110">
        <f>SUM(K41:K61)</f>
        <v>12688155</v>
      </c>
      <c r="L62" s="125" t="s">
        <v>15</v>
      </c>
      <c r="M62" s="110">
        <f>SUM(M41:M61)</f>
        <v>10912179</v>
      </c>
      <c r="N62" s="981" t="s">
        <v>15</v>
      </c>
      <c r="O62" s="1033">
        <f>SUM(O41:O61)</f>
        <v>-1775976</v>
      </c>
      <c r="P62" s="990">
        <v>9407455</v>
      </c>
      <c r="Q62" s="990">
        <f>5555700</f>
        <v>5555700</v>
      </c>
      <c r="R62" s="990"/>
    </row>
    <row r="63" spans="1:18" ht="30.75" customHeight="1">
      <c r="A63" s="121" t="s">
        <v>283</v>
      </c>
      <c r="B63" s="514"/>
      <c r="C63" s="102"/>
      <c r="D63" s="122"/>
      <c r="E63" s="123"/>
      <c r="F63" s="122"/>
      <c r="G63" s="7"/>
      <c r="H63" s="122"/>
      <c r="I63" s="7"/>
      <c r="J63" s="122"/>
      <c r="K63" s="7"/>
      <c r="L63" s="122"/>
      <c r="M63" s="7"/>
      <c r="N63" s="979"/>
      <c r="O63" s="1035"/>
    </row>
    <row r="64" spans="1:18">
      <c r="A64" s="124" t="s">
        <v>51</v>
      </c>
      <c r="B64" s="772"/>
      <c r="C64" s="102" t="s">
        <v>149</v>
      </c>
      <c r="D64" s="100" t="s">
        <v>15</v>
      </c>
      <c r="E64" s="7"/>
      <c r="F64" s="100" t="s">
        <v>15</v>
      </c>
      <c r="G64" s="7"/>
      <c r="H64" s="100" t="s">
        <v>15</v>
      </c>
      <c r="I64" s="7"/>
      <c r="J64" s="100" t="s">
        <v>15</v>
      </c>
      <c r="K64" s="7"/>
      <c r="L64" s="100" t="s">
        <v>15</v>
      </c>
      <c r="M64" s="7"/>
      <c r="N64" s="973" t="s">
        <v>15</v>
      </c>
      <c r="O64" s="1036"/>
      <c r="P64" s="1110">
        <f>P62-1900000-200000-25000-24000</f>
        <v>7258455</v>
      </c>
      <c r="Q64" s="990">
        <f>Q62+P64</f>
        <v>12814155</v>
      </c>
    </row>
    <row r="65" spans="1:22">
      <c r="A65" s="124" t="s">
        <v>1030</v>
      </c>
      <c r="B65" s="889"/>
      <c r="C65" s="102"/>
      <c r="D65" s="100"/>
      <c r="E65" s="7"/>
      <c r="F65" s="100"/>
      <c r="G65" s="7">
        <v>0</v>
      </c>
      <c r="H65" s="100"/>
      <c r="I65" s="7">
        <f t="shared" ref="I65" si="9">K65-G65</f>
        <v>80000</v>
      </c>
      <c r="J65" s="100"/>
      <c r="K65" s="7">
        <v>80000</v>
      </c>
      <c r="L65" s="100"/>
      <c r="M65" s="7">
        <v>0</v>
      </c>
      <c r="N65" s="975"/>
      <c r="O65" s="996">
        <v>0</v>
      </c>
    </row>
    <row r="66" spans="1:22">
      <c r="A66" s="124" t="s">
        <v>152</v>
      </c>
      <c r="B66" s="889"/>
      <c r="C66" s="102" t="s">
        <v>150</v>
      </c>
      <c r="D66" s="122"/>
      <c r="E66" s="7"/>
      <c r="F66" s="122"/>
      <c r="G66" s="7"/>
      <c r="H66" s="122"/>
      <c r="I66" s="7"/>
      <c r="J66" s="122"/>
      <c r="K66" s="7"/>
      <c r="L66" s="122"/>
      <c r="M66" s="7"/>
      <c r="N66" s="977"/>
      <c r="O66" s="996"/>
    </row>
    <row r="67" spans="1:22">
      <c r="A67" s="124" t="s">
        <v>1159</v>
      </c>
      <c r="B67" s="809"/>
      <c r="C67" s="102"/>
      <c r="D67" s="122"/>
      <c r="E67" s="7"/>
      <c r="F67" s="122"/>
      <c r="G67" s="7"/>
      <c r="H67" s="122"/>
      <c r="I67" s="7"/>
      <c r="J67" s="122"/>
      <c r="K67" s="7">
        <v>0</v>
      </c>
      <c r="L67" s="122"/>
      <c r="M67" s="7">
        <v>0</v>
      </c>
      <c r="N67" s="981"/>
      <c r="O67" s="1036"/>
    </row>
    <row r="68" spans="1:22">
      <c r="A68" s="124" t="s">
        <v>154</v>
      </c>
      <c r="B68" s="775"/>
      <c r="C68" s="102" t="s">
        <v>151</v>
      </c>
      <c r="D68" s="122"/>
      <c r="E68" s="7"/>
      <c r="F68" s="122"/>
      <c r="G68" s="7"/>
      <c r="H68" s="122"/>
      <c r="I68" s="7"/>
      <c r="J68" s="122"/>
      <c r="K68" s="7"/>
      <c r="L68" s="122"/>
      <c r="M68" s="7"/>
      <c r="N68" s="977"/>
      <c r="O68" s="996"/>
    </row>
    <row r="69" spans="1:22">
      <c r="A69" s="124" t="s">
        <v>1158</v>
      </c>
      <c r="B69" s="786"/>
      <c r="C69" s="102"/>
      <c r="D69" s="122"/>
      <c r="E69" s="7">
        <v>79700</v>
      </c>
      <c r="F69" s="122"/>
      <c r="G69" s="7">
        <v>0</v>
      </c>
      <c r="H69" s="122"/>
      <c r="I69" s="7">
        <f>K69-G69</f>
        <v>265000</v>
      </c>
      <c r="J69" s="122"/>
      <c r="K69" s="7">
        <f>120000+145000</f>
        <v>265000</v>
      </c>
      <c r="L69" s="122"/>
      <c r="M69" s="7">
        <v>0</v>
      </c>
      <c r="N69" s="977"/>
      <c r="O69" s="996">
        <v>0</v>
      </c>
    </row>
    <row r="70" spans="1:22">
      <c r="A70" s="124" t="s">
        <v>331</v>
      </c>
      <c r="B70" s="823"/>
      <c r="C70" s="102"/>
      <c r="D70" s="122"/>
      <c r="E70" s="7">
        <v>0</v>
      </c>
      <c r="F70" s="122"/>
      <c r="G70" s="7">
        <v>0</v>
      </c>
      <c r="H70" s="122"/>
      <c r="I70" s="7">
        <f>K70-G70</f>
        <v>80000</v>
      </c>
      <c r="J70" s="122"/>
      <c r="K70" s="7">
        <v>80000</v>
      </c>
      <c r="L70" s="122"/>
      <c r="M70" s="7">
        <v>0</v>
      </c>
      <c r="N70" s="977"/>
      <c r="O70" s="996">
        <v>0</v>
      </c>
    </row>
    <row r="71" spans="1:22">
      <c r="A71" s="124" t="s">
        <v>50</v>
      </c>
      <c r="B71" s="823"/>
      <c r="C71" s="102" t="s">
        <v>156</v>
      </c>
      <c r="D71" s="122"/>
      <c r="E71" s="7"/>
      <c r="F71" s="122"/>
      <c r="G71" s="7"/>
      <c r="H71" s="122"/>
      <c r="I71" s="7"/>
      <c r="J71" s="122"/>
      <c r="K71" s="7"/>
      <c r="L71" s="122"/>
      <c r="M71" s="7"/>
      <c r="N71" s="977"/>
      <c r="O71" s="996"/>
    </row>
    <row r="72" spans="1:22">
      <c r="A72" s="124" t="s">
        <v>1216</v>
      </c>
      <c r="B72" s="760"/>
      <c r="C72" s="102"/>
      <c r="D72" s="122"/>
      <c r="E72" s="7">
        <v>0</v>
      </c>
      <c r="F72" s="122"/>
      <c r="G72" s="7">
        <v>0</v>
      </c>
      <c r="H72" s="122"/>
      <c r="I72" s="7">
        <f t="shared" ref="I72:I73" si="10">K72-G72</f>
        <v>120000</v>
      </c>
      <c r="J72" s="122"/>
      <c r="K72" s="7">
        <v>120000</v>
      </c>
      <c r="L72" s="122"/>
      <c r="M72" s="7">
        <v>0</v>
      </c>
      <c r="N72" s="981"/>
      <c r="O72" s="1036">
        <v>0</v>
      </c>
    </row>
    <row r="73" spans="1:22">
      <c r="A73" s="124" t="s">
        <v>1215</v>
      </c>
      <c r="B73" s="288"/>
      <c r="C73" s="102"/>
      <c r="D73" s="122"/>
      <c r="E73" s="7">
        <v>0</v>
      </c>
      <c r="F73" s="122"/>
      <c r="G73" s="105">
        <v>0</v>
      </c>
      <c r="H73" s="125"/>
      <c r="I73" s="7">
        <f t="shared" si="10"/>
        <v>1900000</v>
      </c>
      <c r="J73" s="125"/>
      <c r="K73" s="105">
        <v>1900000</v>
      </c>
      <c r="L73" s="125"/>
      <c r="M73" s="105">
        <v>0</v>
      </c>
      <c r="N73" s="977"/>
      <c r="O73" s="996">
        <v>0</v>
      </c>
    </row>
    <row r="74" spans="1:22">
      <c r="A74" s="1325" t="s">
        <v>16</v>
      </c>
      <c r="B74" s="1326"/>
      <c r="C74" s="102"/>
      <c r="D74" s="109" t="s">
        <v>15</v>
      </c>
      <c r="E74" s="110">
        <f>SUM(E64:E73)</f>
        <v>79700</v>
      </c>
      <c r="F74" s="109" t="s">
        <v>15</v>
      </c>
      <c r="G74" s="110">
        <f>SUM(G64:G73)</f>
        <v>0</v>
      </c>
      <c r="H74" s="109" t="s">
        <v>15</v>
      </c>
      <c r="I74" s="110">
        <f>SUM(I64:I73)</f>
        <v>2445000</v>
      </c>
      <c r="J74" s="109" t="s">
        <v>15</v>
      </c>
      <c r="K74" s="110">
        <f>SUM(K64:K73)</f>
        <v>2445000</v>
      </c>
      <c r="L74" s="144" t="s">
        <v>15</v>
      </c>
      <c r="M74" s="174">
        <f>SUM(M63:M73)</f>
        <v>0</v>
      </c>
      <c r="N74" s="997" t="s">
        <v>15</v>
      </c>
      <c r="O74" s="1037">
        <f>M74-K74</f>
        <v>-2445000</v>
      </c>
      <c r="P74" s="963">
        <f>O74-K74</f>
        <v>-4890000</v>
      </c>
    </row>
    <row r="75" spans="1:22" ht="9" customHeight="1">
      <c r="A75" s="101"/>
      <c r="B75" s="98"/>
      <c r="C75" s="102"/>
      <c r="D75" s="100"/>
      <c r="E75" s="7"/>
      <c r="F75" s="100"/>
      <c r="G75" s="7"/>
      <c r="H75" s="100"/>
      <c r="I75" s="7"/>
      <c r="J75" s="100"/>
      <c r="K75" s="7"/>
      <c r="L75" s="120"/>
      <c r="M75" s="117"/>
      <c r="N75" s="969"/>
      <c r="O75" s="970"/>
    </row>
    <row r="76" spans="1:22">
      <c r="A76" s="1336" t="s">
        <v>277</v>
      </c>
      <c r="B76" s="1337"/>
      <c r="C76" s="113"/>
      <c r="D76" s="125" t="s">
        <v>15</v>
      </c>
      <c r="E76" s="126">
        <f>SUM(E39+E62+E74)</f>
        <v>13725189.43</v>
      </c>
      <c r="F76" s="125" t="s">
        <v>15</v>
      </c>
      <c r="G76" s="126">
        <f>G74+G62+G39</f>
        <v>6350352.1299999999</v>
      </c>
      <c r="H76" s="125" t="s">
        <v>15</v>
      </c>
      <c r="I76" s="126">
        <f>I74+I62+I39</f>
        <v>15053872.870000001</v>
      </c>
      <c r="J76" s="125" t="s">
        <v>15</v>
      </c>
      <c r="K76" s="126">
        <f>K74+K62+K39</f>
        <v>21404225</v>
      </c>
      <c r="L76" s="125" t="s">
        <v>15</v>
      </c>
      <c r="M76" s="126">
        <f>M74+M62+M39</f>
        <v>18884294</v>
      </c>
      <c r="N76" s="981"/>
      <c r="O76" s="1044"/>
      <c r="P76" s="1044">
        <f>P74+P62+P39</f>
        <v>4517455</v>
      </c>
    </row>
    <row r="77" spans="1:22" ht="17.25" customHeight="1">
      <c r="A77" s="62" t="s">
        <v>1623</v>
      </c>
      <c r="B77" s="289"/>
      <c r="C77" s="148"/>
      <c r="D77" s="149"/>
      <c r="E77" s="175"/>
      <c r="F77" s="149"/>
      <c r="G77" s="175"/>
      <c r="H77" s="149"/>
      <c r="I77" s="175"/>
      <c r="J77" s="149"/>
      <c r="K77" s="175"/>
      <c r="L77" s="149"/>
      <c r="M77" s="175"/>
      <c r="N77" s="1002"/>
      <c r="O77" s="1039"/>
      <c r="P77" s="1039"/>
    </row>
    <row r="78" spans="1:22" ht="8.25" customHeight="1">
      <c r="A78" s="289"/>
      <c r="B78" s="289"/>
      <c r="C78" s="148"/>
      <c r="D78" s="149"/>
      <c r="E78" s="175"/>
      <c r="F78" s="149"/>
      <c r="G78" s="175"/>
      <c r="H78" s="149"/>
      <c r="I78" s="175"/>
      <c r="J78" s="149"/>
      <c r="K78" s="175"/>
      <c r="L78" s="149"/>
      <c r="M78" s="175"/>
      <c r="N78" s="1002"/>
      <c r="O78" s="1039"/>
      <c r="P78" s="1039"/>
    </row>
    <row r="79" spans="1:22" s="127" customFormat="1">
      <c r="A79" s="291" t="s">
        <v>187</v>
      </c>
      <c r="B79" s="291"/>
      <c r="C79" s="292" t="s">
        <v>188</v>
      </c>
      <c r="D79" s="291"/>
      <c r="E79" s="291"/>
      <c r="F79" s="293"/>
      <c r="G79" s="291"/>
      <c r="H79" s="291"/>
      <c r="I79" s="291" t="s">
        <v>190</v>
      </c>
      <c r="J79" s="291"/>
      <c r="K79" s="291"/>
      <c r="L79" s="293"/>
      <c r="M79" s="291"/>
      <c r="N79" s="1003"/>
      <c r="O79" s="1004"/>
      <c r="P79" s="964"/>
      <c r="Q79" s="1111"/>
      <c r="R79" s="1009"/>
      <c r="S79" s="130"/>
      <c r="T79" s="130"/>
      <c r="U79" s="130"/>
      <c r="V79" s="130"/>
    </row>
    <row r="80" spans="1:22">
      <c r="A80" s="108"/>
      <c r="B80" s="108"/>
      <c r="C80" s="108"/>
      <c r="D80" s="111"/>
      <c r="E80" s="108"/>
      <c r="F80" s="111"/>
      <c r="G80" s="108"/>
      <c r="H80" s="111"/>
      <c r="I80" s="108"/>
      <c r="J80" s="111"/>
      <c r="K80" s="108"/>
      <c r="L80" s="111"/>
      <c r="M80" s="108"/>
      <c r="N80" s="983"/>
      <c r="O80" s="1005"/>
    </row>
    <row r="81" spans="1:18">
      <c r="A81" s="202" t="s">
        <v>215</v>
      </c>
      <c r="B81" s="202"/>
      <c r="C81" s="108"/>
      <c r="D81" s="111"/>
      <c r="E81" s="202"/>
      <c r="F81" s="202"/>
      <c r="G81" s="202"/>
      <c r="H81" s="202"/>
      <c r="I81" s="202"/>
      <c r="J81" s="202"/>
      <c r="K81" s="202"/>
      <c r="L81" s="202"/>
      <c r="M81" s="202"/>
      <c r="N81" s="1112"/>
      <c r="O81" s="1112"/>
    </row>
    <row r="82" spans="1:18" s="89" customFormat="1">
      <c r="A82" s="1323" t="s">
        <v>1617</v>
      </c>
      <c r="B82" s="1323"/>
      <c r="C82" s="1323" t="s">
        <v>1584</v>
      </c>
      <c r="D82" s="1323"/>
      <c r="E82" s="1323"/>
      <c r="F82" s="1323"/>
      <c r="G82" s="1323"/>
      <c r="H82" s="131"/>
      <c r="I82" s="1323" t="str">
        <f>mho!I95</f>
        <v>(Sgd.) ATTY. JOSE JOEL P. DOROMAL</v>
      </c>
      <c r="J82" s="1323"/>
      <c r="K82" s="1323"/>
      <c r="L82" s="1323"/>
      <c r="M82" s="1323"/>
      <c r="N82" s="986"/>
      <c r="O82" s="986"/>
      <c r="P82" s="965"/>
      <c r="Q82" s="1113"/>
      <c r="R82" s="965"/>
    </row>
    <row r="83" spans="1:18" ht="12.75" customHeight="1">
      <c r="A83" s="1322" t="s">
        <v>214</v>
      </c>
      <c r="B83" s="1322"/>
      <c r="C83" s="1322" t="s">
        <v>198</v>
      </c>
      <c r="D83" s="1322"/>
      <c r="E83" s="1322"/>
      <c r="F83" s="1322"/>
      <c r="G83" s="1322"/>
      <c r="I83" s="1322" t="s">
        <v>192</v>
      </c>
      <c r="J83" s="1322"/>
      <c r="K83" s="1322"/>
      <c r="L83" s="1322"/>
      <c r="M83" s="1322"/>
      <c r="N83" s="987"/>
      <c r="O83" s="987"/>
    </row>
    <row r="118" spans="1:1">
      <c r="A118" s="763" t="s">
        <v>1038</v>
      </c>
    </row>
    <row r="119" spans="1:1" ht="6.75" customHeight="1">
      <c r="A119" s="89"/>
    </row>
    <row r="120" spans="1:1">
      <c r="A120" s="86" t="s">
        <v>1037</v>
      </c>
    </row>
    <row r="121" spans="1:1">
      <c r="A121" s="86" t="s">
        <v>1031</v>
      </c>
    </row>
    <row r="122" spans="1:1">
      <c r="A122" s="86" t="s">
        <v>1032</v>
      </c>
    </row>
    <row r="123" spans="1:1">
      <c r="A123" s="86" t="s">
        <v>1033</v>
      </c>
    </row>
    <row r="124" spans="1:1">
      <c r="A124" s="86" t="s">
        <v>1039</v>
      </c>
    </row>
    <row r="125" spans="1:1">
      <c r="A125" s="86" t="s">
        <v>1034</v>
      </c>
    </row>
    <row r="126" spans="1:1">
      <c r="A126" s="86" t="s">
        <v>1035</v>
      </c>
    </row>
    <row r="127" spans="1:1">
      <c r="A127" s="86" t="s">
        <v>1036</v>
      </c>
    </row>
    <row r="129" spans="1:17">
      <c r="A129" s="764" t="s">
        <v>1041</v>
      </c>
      <c r="D129" s="86"/>
      <c r="F129" s="86"/>
      <c r="H129" s="86"/>
      <c r="J129" s="86"/>
      <c r="L129" s="86"/>
      <c r="N129" s="961"/>
      <c r="Q129" s="961"/>
    </row>
    <row r="130" spans="1:17">
      <c r="A130" s="86" t="s">
        <v>1040</v>
      </c>
      <c r="D130" s="86"/>
      <c r="F130" s="86"/>
      <c r="H130" s="86"/>
      <c r="J130" s="86"/>
      <c r="L130" s="86"/>
      <c r="N130" s="961"/>
      <c r="Q130" s="961"/>
    </row>
    <row r="131" spans="1:17">
      <c r="A131" s="86" t="s">
        <v>1042</v>
      </c>
      <c r="D131" s="86"/>
      <c r="F131" s="86"/>
      <c r="H131" s="86"/>
      <c r="J131" s="86"/>
      <c r="L131" s="86"/>
      <c r="N131" s="961"/>
      <c r="Q131" s="961"/>
    </row>
    <row r="133" spans="1:17">
      <c r="A133" s="86" t="s">
        <v>1043</v>
      </c>
      <c r="D133" s="86"/>
      <c r="F133" s="86"/>
      <c r="H133" s="86"/>
      <c r="J133" s="86"/>
      <c r="L133" s="86"/>
      <c r="N133" s="961"/>
      <c r="Q133" s="961"/>
    </row>
    <row r="134" spans="1:17">
      <c r="A134" s="182"/>
      <c r="D134" s="86"/>
      <c r="F134" s="86"/>
      <c r="H134" s="86"/>
      <c r="J134" s="86"/>
      <c r="L134" s="86"/>
      <c r="N134" s="961"/>
      <c r="Q134" s="961"/>
    </row>
    <row r="164" spans="1:17">
      <c r="A164" s="134" t="s">
        <v>336</v>
      </c>
      <c r="B164" s="92"/>
      <c r="C164" s="92"/>
      <c r="D164" s="116"/>
      <c r="E164" s="115"/>
      <c r="F164" s="86"/>
      <c r="H164" s="86"/>
      <c r="J164" s="86"/>
      <c r="L164" s="86"/>
      <c r="N164" s="961"/>
      <c r="Q164" s="961"/>
    </row>
    <row r="165" spans="1:17">
      <c r="A165" s="1324" t="s">
        <v>60</v>
      </c>
      <c r="B165" s="1311"/>
      <c r="C165" s="108"/>
      <c r="D165" s="111"/>
      <c r="E165" s="98"/>
      <c r="F165" s="86"/>
      <c r="H165" s="86"/>
      <c r="J165" s="86"/>
      <c r="L165" s="86"/>
      <c r="N165" s="961"/>
      <c r="Q165" s="961"/>
    </row>
    <row r="166" spans="1:17">
      <c r="A166" s="101" t="s">
        <v>233</v>
      </c>
      <c r="B166" s="108"/>
      <c r="C166" s="108"/>
      <c r="D166" s="111"/>
      <c r="E166" s="135" t="s">
        <v>300</v>
      </c>
      <c r="F166" s="86"/>
      <c r="H166" s="86"/>
      <c r="J166" s="86"/>
      <c r="L166" s="86"/>
      <c r="N166" s="961"/>
      <c r="Q166" s="961"/>
    </row>
    <row r="167" spans="1:17">
      <c r="A167" s="101"/>
      <c r="B167" s="108"/>
      <c r="C167" s="108"/>
      <c r="D167" s="111"/>
      <c r="E167" s="98"/>
      <c r="F167" s="86"/>
      <c r="H167" s="86"/>
      <c r="J167" s="86"/>
      <c r="L167" s="86"/>
      <c r="N167" s="961"/>
      <c r="Q167" s="961"/>
    </row>
    <row r="168" spans="1:17">
      <c r="A168" s="101" t="s">
        <v>325</v>
      </c>
      <c r="B168" s="108"/>
      <c r="C168" s="108"/>
      <c r="D168" s="111" t="s">
        <v>15</v>
      </c>
      <c r="E168" s="7">
        <v>700000</v>
      </c>
      <c r="F168" s="86"/>
      <c r="H168" s="86"/>
      <c r="J168" s="86"/>
      <c r="L168" s="86"/>
      <c r="N168" s="961"/>
      <c r="Q168" s="961"/>
    </row>
    <row r="169" spans="1:17" ht="15.75">
      <c r="A169" s="136" t="s">
        <v>323</v>
      </c>
      <c r="B169" s="108"/>
      <c r="C169" s="108"/>
      <c r="D169" s="111"/>
      <c r="E169" s="137">
        <v>240000</v>
      </c>
      <c r="F169" s="86"/>
      <c r="H169" s="86"/>
      <c r="J169" s="86"/>
      <c r="L169" s="86"/>
      <c r="N169" s="961"/>
      <c r="Q169" s="961"/>
    </row>
    <row r="170" spans="1:17">
      <c r="A170" s="1320" t="s">
        <v>64</v>
      </c>
      <c r="B170" s="1321"/>
      <c r="C170" s="108"/>
      <c r="D170" s="111" t="s">
        <v>15</v>
      </c>
      <c r="E170" s="7">
        <f>SUM(E168:E169)</f>
        <v>940000</v>
      </c>
      <c r="F170" s="86"/>
      <c r="H170" s="86"/>
      <c r="J170" s="86"/>
      <c r="L170" s="86"/>
      <c r="N170" s="961"/>
      <c r="Q170" s="961"/>
    </row>
    <row r="171" spans="1:17">
      <c r="A171" s="138"/>
      <c r="B171" s="90"/>
      <c r="C171" s="90"/>
      <c r="D171" s="139"/>
      <c r="E171" s="112"/>
      <c r="F171" s="86"/>
      <c r="H171" s="86"/>
      <c r="J171" s="86"/>
      <c r="L171" s="86"/>
      <c r="N171" s="961"/>
      <c r="Q171" s="961"/>
    </row>
  </sheetData>
  <sheetProtection algorithmName="SHA-512" hashValue="9K7+YZr69uETBzvUNGvupsQtRSzRzXMOXBwXRJIM8cQLCzyx34OncyjWTRVx2igBsAoyOyWTAK20dJRRNDbvCA==" saltValue="wYxYktLMobc9KFrlXoBkBQ==" spinCount="100000" sheet="1" objects="1" scenarios="1"/>
  <mergeCells count="28">
    <mergeCell ref="I82:M82"/>
    <mergeCell ref="I83:M83"/>
    <mergeCell ref="A165:B165"/>
    <mergeCell ref="A170:B170"/>
    <mergeCell ref="F11:K11"/>
    <mergeCell ref="J12:K13"/>
    <mergeCell ref="A76:B76"/>
    <mergeCell ref="A39:B39"/>
    <mergeCell ref="A62:B62"/>
    <mergeCell ref="A74:B74"/>
    <mergeCell ref="F13:G13"/>
    <mergeCell ref="A82:B82"/>
    <mergeCell ref="A83:B83"/>
    <mergeCell ref="C82:G82"/>
    <mergeCell ref="C83:G83"/>
    <mergeCell ref="A3:M3"/>
    <mergeCell ref="D11:E11"/>
    <mergeCell ref="L11:M11"/>
    <mergeCell ref="N11:O13"/>
    <mergeCell ref="A12:B12"/>
    <mergeCell ref="D12:E12"/>
    <mergeCell ref="D13:E13"/>
    <mergeCell ref="F12:G12"/>
    <mergeCell ref="H12:I12"/>
    <mergeCell ref="H13:I13"/>
    <mergeCell ref="L12:M12"/>
    <mergeCell ref="L13:M13"/>
    <mergeCell ref="A4:M4"/>
  </mergeCells>
  <phoneticPr fontId="0" type="noConversion"/>
  <pageMargins left="0.2" right="0" top="1" bottom="1" header="0.35433070866141703" footer="0.511811023622047"/>
  <pageSetup paperSize="14" fitToHeight="0" orientation="portrait" verticalDpi="300" r:id="rId1"/>
  <headerFooter alignWithMargins="0">
    <oddHeader>&amp;RPage &amp;P of 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99"/>
  <sheetViews>
    <sheetView topLeftCell="A94" zoomScale="145" zoomScaleNormal="145" workbookViewId="0">
      <selection activeCell="N22" sqref="N22"/>
    </sheetView>
  </sheetViews>
  <sheetFormatPr defaultColWidth="9.140625" defaultRowHeight="13.5"/>
  <cols>
    <col min="1" max="1" width="8" style="86" customWidth="1"/>
    <col min="2" max="2" width="25.5703125" style="86" customWidth="1"/>
    <col min="3" max="3" width="8.28515625" style="86" customWidth="1"/>
    <col min="4" max="4" width="1.7109375" style="87" customWidth="1"/>
    <col min="5" max="5" width="11" style="86" customWidth="1"/>
    <col min="6" max="6" width="1.7109375" style="87" customWidth="1"/>
    <col min="7" max="7" width="9.7109375" style="86" customWidth="1"/>
    <col min="8" max="8" width="1.28515625" style="87" customWidth="1"/>
    <col min="9" max="9" width="11.7109375" style="86" customWidth="1"/>
    <col min="10" max="10" width="1.5703125" style="87" customWidth="1"/>
    <col min="11" max="11" width="11.28515625" style="86" customWidth="1"/>
    <col min="12" max="12" width="1.5703125" style="87" customWidth="1"/>
    <col min="13" max="13" width="10.85546875" style="86" customWidth="1"/>
    <col min="14" max="14" width="0.28515625" style="966" hidden="1" customWidth="1"/>
    <col min="15" max="16" width="10.5703125" style="961" hidden="1" customWidth="1"/>
    <col min="17" max="17" width="12.7109375" style="961" hidden="1" customWidth="1"/>
    <col min="18" max="18" width="9.140625" style="961" hidden="1" customWidth="1"/>
    <col min="19" max="19" width="10.28515625" style="961" customWidth="1"/>
    <col min="20" max="16384" width="9.140625" style="86"/>
  </cols>
  <sheetData>
    <row r="1" spans="1:21">
      <c r="A1" s="86" t="s">
        <v>186</v>
      </c>
    </row>
    <row r="2" spans="1:21" ht="6.75" customHeight="1"/>
    <row r="3" spans="1:21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986"/>
      <c r="O3" s="986"/>
      <c r="P3" s="967"/>
      <c r="Q3" s="962"/>
      <c r="R3" s="962"/>
      <c r="S3" s="962"/>
      <c r="T3" s="767"/>
      <c r="U3" s="767"/>
    </row>
    <row r="4" spans="1:21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986"/>
      <c r="O4" s="986"/>
      <c r="P4" s="967"/>
      <c r="Q4" s="962"/>
      <c r="R4" s="962"/>
      <c r="S4" s="962"/>
      <c r="T4" s="767"/>
      <c r="U4" s="767"/>
    </row>
    <row r="5" spans="1:21" ht="8.25" customHeight="1"/>
    <row r="6" spans="1:21">
      <c r="A6" s="89" t="s">
        <v>85</v>
      </c>
      <c r="B6" s="90" t="s">
        <v>461</v>
      </c>
      <c r="C6" s="90"/>
    </row>
    <row r="7" spans="1:21" ht="13.5" hidden="1" customHeight="1">
      <c r="A7" s="86" t="s">
        <v>2</v>
      </c>
      <c r="B7" s="91" t="s">
        <v>462</v>
      </c>
      <c r="C7" s="91"/>
      <c r="F7" s="804"/>
      <c r="G7" s="804"/>
      <c r="H7" s="804"/>
      <c r="I7" s="804"/>
      <c r="J7" s="804"/>
      <c r="K7" s="804"/>
      <c r="L7" s="804"/>
      <c r="M7" s="804"/>
      <c r="N7" s="1034"/>
      <c r="O7" s="1034"/>
      <c r="P7" s="968"/>
    </row>
    <row r="8" spans="1:21" ht="13.5" hidden="1" customHeight="1">
      <c r="A8" s="86" t="s">
        <v>3</v>
      </c>
      <c r="B8" s="91" t="s">
        <v>463</v>
      </c>
      <c r="C8" s="91"/>
      <c r="F8" s="133"/>
      <c r="G8" s="133"/>
      <c r="H8" s="133"/>
      <c r="I8" s="133"/>
      <c r="J8" s="133"/>
      <c r="K8" s="133"/>
      <c r="L8" s="133"/>
      <c r="M8" s="133"/>
      <c r="N8" s="987"/>
      <c r="O8" s="987"/>
      <c r="P8" s="962"/>
    </row>
    <row r="9" spans="1:21" ht="13.5" hidden="1" customHeight="1">
      <c r="A9" s="86" t="s">
        <v>4</v>
      </c>
      <c r="B9" s="91" t="s">
        <v>404</v>
      </c>
      <c r="C9" s="91"/>
    </row>
    <row r="10" spans="1:21" ht="7.5" customHeight="1">
      <c r="B10" s="92"/>
      <c r="C10" s="92"/>
    </row>
    <row r="11" spans="1:21">
      <c r="A11" s="93"/>
      <c r="B11" s="94"/>
      <c r="C11" s="2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328" t="s">
        <v>494</v>
      </c>
      <c r="O11" s="1329"/>
      <c r="P11" s="1114"/>
    </row>
    <row r="12" spans="1:21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330"/>
      <c r="O12" s="1331"/>
      <c r="P12" s="1114"/>
    </row>
    <row r="13" spans="1:21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332"/>
      <c r="O13" s="1333"/>
      <c r="P13" s="1114"/>
    </row>
    <row r="14" spans="1:21" ht="12.6" customHeight="1">
      <c r="A14" s="97" t="s">
        <v>281</v>
      </c>
      <c r="B14" s="98"/>
      <c r="C14" s="99"/>
      <c r="D14" s="100"/>
      <c r="E14" s="7"/>
      <c r="F14" s="100"/>
      <c r="G14" s="7"/>
      <c r="H14" s="100"/>
      <c r="I14" s="7"/>
      <c r="J14" s="100"/>
      <c r="K14" s="7"/>
      <c r="L14" s="100"/>
      <c r="M14" s="7"/>
      <c r="N14" s="971"/>
      <c r="O14" s="1035"/>
      <c r="P14" s="984"/>
    </row>
    <row r="15" spans="1:21" ht="12.6" customHeight="1">
      <c r="A15" s="101" t="s">
        <v>262</v>
      </c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  <c r="N15" s="971"/>
      <c r="O15" s="1035"/>
      <c r="P15" s="984"/>
    </row>
    <row r="16" spans="1:21" ht="12.6" customHeight="1">
      <c r="A16" s="101" t="s">
        <v>263</v>
      </c>
      <c r="B16" s="98"/>
      <c r="C16" s="102" t="s">
        <v>114</v>
      </c>
      <c r="D16" s="100" t="s">
        <v>15</v>
      </c>
      <c r="E16" s="221">
        <v>2260264.0299999998</v>
      </c>
      <c r="F16" s="100" t="s">
        <v>15</v>
      </c>
      <c r="G16" s="221">
        <v>1225308</v>
      </c>
      <c r="H16" s="100" t="s">
        <v>15</v>
      </c>
      <c r="I16" s="221">
        <f>K16-G16</f>
        <v>2180160</v>
      </c>
      <c r="J16" s="100" t="s">
        <v>15</v>
      </c>
      <c r="K16" s="221">
        <v>3405468</v>
      </c>
      <c r="L16" s="100" t="s">
        <v>15</v>
      </c>
      <c r="M16" s="221">
        <v>4141308</v>
      </c>
      <c r="N16" s="973" t="s">
        <v>15</v>
      </c>
      <c r="O16" s="1058">
        <v>0</v>
      </c>
      <c r="P16" s="1115"/>
    </row>
    <row r="17" spans="1:17" ht="12.6" customHeight="1">
      <c r="A17" s="101" t="s">
        <v>264</v>
      </c>
      <c r="B17" s="98"/>
      <c r="C17" s="102" t="s">
        <v>115</v>
      </c>
      <c r="D17" s="100"/>
      <c r="E17" s="221">
        <v>442915.23</v>
      </c>
      <c r="F17" s="100"/>
      <c r="G17" s="221">
        <v>316311.25</v>
      </c>
      <c r="H17" s="100"/>
      <c r="I17" s="221">
        <f t="shared" ref="I17:I31" si="0">K17-G17</f>
        <v>351752.75</v>
      </c>
      <c r="J17" s="100"/>
      <c r="K17" s="221">
        <v>668064</v>
      </c>
      <c r="L17" s="100"/>
      <c r="M17" s="221">
        <v>668052</v>
      </c>
      <c r="N17" s="975"/>
      <c r="O17" s="1059">
        <v>0</v>
      </c>
      <c r="P17" s="1115"/>
    </row>
    <row r="18" spans="1:17" ht="12.6" customHeight="1">
      <c r="A18" s="101" t="s">
        <v>265</v>
      </c>
      <c r="B18" s="98"/>
      <c r="C18" s="102"/>
      <c r="D18" s="100"/>
      <c r="E18" s="7"/>
      <c r="F18" s="100"/>
      <c r="G18" s="7"/>
      <c r="H18" s="100"/>
      <c r="I18" s="7"/>
      <c r="J18" s="100"/>
      <c r="K18" s="7"/>
      <c r="L18" s="100"/>
      <c r="M18" s="7"/>
      <c r="N18" s="975"/>
      <c r="O18" s="996"/>
      <c r="P18" s="984"/>
      <c r="Q18" s="963"/>
    </row>
    <row r="19" spans="1:17" ht="12.6" customHeight="1">
      <c r="A19" s="101" t="s">
        <v>266</v>
      </c>
      <c r="B19" s="98"/>
      <c r="C19" s="102" t="s">
        <v>116</v>
      </c>
      <c r="D19" s="100"/>
      <c r="E19" s="221">
        <v>275636.76</v>
      </c>
      <c r="F19" s="100"/>
      <c r="G19" s="221">
        <v>153452.44</v>
      </c>
      <c r="H19" s="100"/>
      <c r="I19" s="221">
        <f t="shared" si="0"/>
        <v>182547.56</v>
      </c>
      <c r="J19" s="100"/>
      <c r="K19" s="221">
        <v>336000</v>
      </c>
      <c r="L19" s="100"/>
      <c r="M19" s="221">
        <v>384000</v>
      </c>
      <c r="N19" s="975"/>
      <c r="O19" s="1059">
        <v>0</v>
      </c>
      <c r="P19" s="1115"/>
    </row>
    <row r="20" spans="1:17" ht="12.6" customHeight="1">
      <c r="A20" s="101" t="s">
        <v>267</v>
      </c>
      <c r="B20" s="98"/>
      <c r="C20" s="102" t="s">
        <v>117</v>
      </c>
      <c r="D20" s="100"/>
      <c r="E20" s="221">
        <v>81000</v>
      </c>
      <c r="F20" s="100"/>
      <c r="G20" s="221">
        <v>40500</v>
      </c>
      <c r="H20" s="100"/>
      <c r="I20" s="221">
        <f t="shared" si="0"/>
        <v>40500</v>
      </c>
      <c r="J20" s="100"/>
      <c r="K20" s="221">
        <v>81000</v>
      </c>
      <c r="L20" s="100"/>
      <c r="M20" s="221">
        <v>81000</v>
      </c>
      <c r="N20" s="975"/>
      <c r="O20" s="1059">
        <v>0</v>
      </c>
      <c r="P20" s="1115"/>
    </row>
    <row r="21" spans="1:17" ht="12.6" customHeight="1">
      <c r="A21" s="101" t="s">
        <v>268</v>
      </c>
      <c r="B21" s="106"/>
      <c r="C21" s="102" t="s">
        <v>118</v>
      </c>
      <c r="D21" s="100"/>
      <c r="E21" s="221">
        <v>81000</v>
      </c>
      <c r="F21" s="100"/>
      <c r="G21" s="221">
        <v>40500</v>
      </c>
      <c r="H21" s="100"/>
      <c r="I21" s="221">
        <f t="shared" si="0"/>
        <v>40500</v>
      </c>
      <c r="J21" s="100"/>
      <c r="K21" s="221">
        <v>81000</v>
      </c>
      <c r="L21" s="100"/>
      <c r="M21" s="221">
        <v>81000</v>
      </c>
      <c r="N21" s="975"/>
      <c r="O21" s="1059">
        <v>0</v>
      </c>
      <c r="P21" s="1115"/>
    </row>
    <row r="22" spans="1:17" ht="12.6" customHeight="1">
      <c r="A22" s="101" t="s">
        <v>269</v>
      </c>
      <c r="B22" s="106"/>
      <c r="C22" s="102" t="s">
        <v>119</v>
      </c>
      <c r="D22" s="100"/>
      <c r="E22" s="221">
        <v>66000</v>
      </c>
      <c r="F22" s="100"/>
      <c r="G22" s="221">
        <v>78000</v>
      </c>
      <c r="H22" s="100"/>
      <c r="I22" s="221">
        <f t="shared" si="0"/>
        <v>6000</v>
      </c>
      <c r="J22" s="100"/>
      <c r="K22" s="221">
        <v>84000</v>
      </c>
      <c r="L22" s="100"/>
      <c r="M22" s="221">
        <v>96000</v>
      </c>
      <c r="N22" s="975"/>
      <c r="O22" s="1059">
        <v>0</v>
      </c>
      <c r="P22" s="1115"/>
    </row>
    <row r="23" spans="1:17" ht="12.6" customHeight="1">
      <c r="A23" s="101" t="s">
        <v>270</v>
      </c>
      <c r="B23" s="106"/>
      <c r="C23" s="102" t="s">
        <v>120</v>
      </c>
      <c r="D23" s="100"/>
      <c r="E23" s="221">
        <v>61000</v>
      </c>
      <c r="F23" s="100"/>
      <c r="G23" s="221">
        <v>0</v>
      </c>
      <c r="H23" s="100"/>
      <c r="I23" s="221">
        <f t="shared" si="0"/>
        <v>70000</v>
      </c>
      <c r="J23" s="100"/>
      <c r="K23" s="221">
        <v>70000</v>
      </c>
      <c r="L23" s="100"/>
      <c r="M23" s="221">
        <v>80000</v>
      </c>
      <c r="N23" s="975"/>
      <c r="O23" s="1059">
        <v>0</v>
      </c>
      <c r="P23" s="1115"/>
    </row>
    <row r="24" spans="1:17" ht="12.6" customHeight="1">
      <c r="A24" s="101" t="s">
        <v>271</v>
      </c>
      <c r="B24" s="98"/>
      <c r="C24" s="102" t="s">
        <v>121</v>
      </c>
      <c r="D24" s="100"/>
      <c r="E24" s="221">
        <v>235233.8</v>
      </c>
      <c r="F24" s="100"/>
      <c r="G24" s="221">
        <v>0</v>
      </c>
      <c r="H24" s="100"/>
      <c r="I24" s="221">
        <f t="shared" si="0"/>
        <v>339461</v>
      </c>
      <c r="J24" s="100"/>
      <c r="K24" s="221">
        <v>339461</v>
      </c>
      <c r="L24" s="100"/>
      <c r="M24" s="221">
        <v>400780</v>
      </c>
      <c r="N24" s="975"/>
      <c r="O24" s="1059">
        <v>0</v>
      </c>
      <c r="P24" s="1115"/>
    </row>
    <row r="25" spans="1:17" ht="12.6" customHeight="1">
      <c r="A25" s="101" t="s">
        <v>278</v>
      </c>
      <c r="B25" s="108"/>
      <c r="C25" s="102" t="s">
        <v>258</v>
      </c>
      <c r="D25" s="100"/>
      <c r="E25" s="221"/>
      <c r="F25" s="100"/>
      <c r="G25" s="221"/>
      <c r="H25" s="100"/>
      <c r="I25" s="221"/>
      <c r="J25" s="100"/>
      <c r="K25" s="221"/>
      <c r="L25" s="100"/>
      <c r="M25" s="221"/>
      <c r="N25" s="975"/>
      <c r="O25" s="1059"/>
      <c r="P25" s="1115"/>
    </row>
    <row r="26" spans="1:17" ht="12.6" customHeight="1">
      <c r="A26" s="101" t="s">
        <v>279</v>
      </c>
      <c r="B26" s="108"/>
      <c r="C26" s="102"/>
      <c r="D26" s="100"/>
      <c r="E26" s="221">
        <v>212184.82</v>
      </c>
      <c r="F26" s="100"/>
      <c r="G26" s="221">
        <v>259888.78</v>
      </c>
      <c r="H26" s="100"/>
      <c r="I26" s="221">
        <f>K26-G26</f>
        <v>79572.22</v>
      </c>
      <c r="J26" s="100"/>
      <c r="K26" s="221">
        <v>339461</v>
      </c>
      <c r="L26" s="100"/>
      <c r="M26" s="221">
        <v>400780</v>
      </c>
      <c r="N26" s="975"/>
      <c r="O26" s="1059">
        <v>0</v>
      </c>
      <c r="P26" s="1115"/>
    </row>
    <row r="27" spans="1:17" ht="12.6" customHeight="1">
      <c r="A27" s="101" t="s">
        <v>280</v>
      </c>
      <c r="B27" s="108"/>
      <c r="C27" s="102"/>
      <c r="D27" s="100"/>
      <c r="E27" s="221">
        <v>0</v>
      </c>
      <c r="F27" s="100"/>
      <c r="G27" s="221">
        <v>36000</v>
      </c>
      <c r="H27" s="100"/>
      <c r="I27" s="221">
        <f>K27-G27</f>
        <v>6000</v>
      </c>
      <c r="J27" s="100"/>
      <c r="K27" s="221">
        <v>42000</v>
      </c>
      <c r="L27" s="100"/>
      <c r="M27" s="221">
        <v>0</v>
      </c>
      <c r="N27" s="975"/>
      <c r="O27" s="1059">
        <v>0</v>
      </c>
      <c r="P27" s="1115"/>
    </row>
    <row r="28" spans="1:17" ht="12.6" customHeight="1">
      <c r="A28" s="101" t="s">
        <v>272</v>
      </c>
      <c r="B28" s="98"/>
      <c r="C28" s="102" t="s">
        <v>122</v>
      </c>
      <c r="D28" s="100"/>
      <c r="E28" s="221">
        <v>325526.90000000002</v>
      </c>
      <c r="F28" s="100"/>
      <c r="G28" s="221">
        <v>187119.9</v>
      </c>
      <c r="H28" s="100"/>
      <c r="I28" s="221">
        <f t="shared" si="0"/>
        <v>301704.09999999998</v>
      </c>
      <c r="J28" s="100"/>
      <c r="K28" s="221">
        <v>488824</v>
      </c>
      <c r="L28" s="100"/>
      <c r="M28" s="221">
        <v>577124</v>
      </c>
      <c r="N28" s="975"/>
      <c r="O28" s="1059">
        <v>0</v>
      </c>
      <c r="P28" s="1115"/>
    </row>
    <row r="29" spans="1:17" ht="12.6" customHeight="1">
      <c r="A29" s="101" t="s">
        <v>273</v>
      </c>
      <c r="B29" s="98"/>
      <c r="C29" s="102" t="s">
        <v>123</v>
      </c>
      <c r="D29" s="100"/>
      <c r="E29" s="221">
        <v>54062.32</v>
      </c>
      <c r="F29" s="100"/>
      <c r="G29" s="221">
        <v>11508.1</v>
      </c>
      <c r="H29" s="100"/>
      <c r="I29" s="221">
        <f t="shared" si="0"/>
        <v>70031.899999999994</v>
      </c>
      <c r="J29" s="100"/>
      <c r="K29" s="221">
        <v>81540</v>
      </c>
      <c r="L29" s="100"/>
      <c r="M29" s="221">
        <v>19200</v>
      </c>
      <c r="N29" s="975"/>
      <c r="O29" s="1059">
        <v>0</v>
      </c>
      <c r="P29" s="1115"/>
    </row>
    <row r="30" spans="1:17" ht="12.6" customHeight="1">
      <c r="A30" s="101" t="s">
        <v>274</v>
      </c>
      <c r="B30" s="98"/>
      <c r="C30" s="102" t="s">
        <v>124</v>
      </c>
      <c r="D30" s="100"/>
      <c r="E30" s="221">
        <v>40547.03</v>
      </c>
      <c r="F30" s="100"/>
      <c r="G30" s="221">
        <v>24547.360000000001</v>
      </c>
      <c r="H30" s="100"/>
      <c r="I30" s="221">
        <f t="shared" si="0"/>
        <v>56992.639999999999</v>
      </c>
      <c r="J30" s="100"/>
      <c r="K30" s="221">
        <v>81540</v>
      </c>
      <c r="L30" s="100"/>
      <c r="M30" s="221">
        <v>108324</v>
      </c>
      <c r="N30" s="975"/>
      <c r="O30" s="1059">
        <v>0</v>
      </c>
      <c r="P30" s="1115"/>
    </row>
    <row r="31" spans="1:17" ht="12.6" customHeight="1">
      <c r="A31" s="101" t="s">
        <v>275</v>
      </c>
      <c r="B31" s="98"/>
      <c r="C31" s="102" t="s">
        <v>125</v>
      </c>
      <c r="D31" s="100"/>
      <c r="E31" s="221">
        <v>14100</v>
      </c>
      <c r="F31" s="100"/>
      <c r="G31" s="221">
        <v>7800</v>
      </c>
      <c r="H31" s="100"/>
      <c r="I31" s="221">
        <f t="shared" si="0"/>
        <v>9000</v>
      </c>
      <c r="J31" s="100"/>
      <c r="K31" s="221">
        <v>16800</v>
      </c>
      <c r="L31" s="100"/>
      <c r="M31" s="221">
        <v>19200</v>
      </c>
      <c r="N31" s="975"/>
      <c r="O31" s="1059">
        <v>0</v>
      </c>
      <c r="P31" s="1115"/>
    </row>
    <row r="32" spans="1:17" ht="12.6" customHeight="1">
      <c r="A32" s="101" t="s">
        <v>276</v>
      </c>
      <c r="B32" s="108"/>
      <c r="C32" s="102" t="s">
        <v>161</v>
      </c>
      <c r="D32" s="100"/>
      <c r="E32" s="7"/>
      <c r="F32" s="100"/>
      <c r="G32" s="7"/>
      <c r="H32" s="100"/>
      <c r="I32" s="7"/>
      <c r="J32" s="100"/>
      <c r="K32" s="7"/>
      <c r="L32" s="100"/>
      <c r="M32" s="7"/>
      <c r="N32" s="975"/>
      <c r="O32" s="996"/>
      <c r="P32" s="984"/>
      <c r="Q32" s="963"/>
    </row>
    <row r="33" spans="1:19" ht="12.6" customHeight="1">
      <c r="A33" s="101" t="s">
        <v>292</v>
      </c>
      <c r="B33" s="108"/>
      <c r="C33" s="102"/>
      <c r="D33" s="100"/>
      <c r="E33" s="7">
        <v>0</v>
      </c>
      <c r="F33" s="100"/>
      <c r="G33" s="7"/>
      <c r="H33" s="100"/>
      <c r="I33" s="7">
        <f>K33-G33</f>
        <v>0</v>
      </c>
      <c r="J33" s="100"/>
      <c r="K33" s="7">
        <v>0</v>
      </c>
      <c r="L33" s="100"/>
      <c r="M33" s="7">
        <v>232736</v>
      </c>
      <c r="N33" s="975"/>
      <c r="O33" s="996">
        <v>0</v>
      </c>
      <c r="P33" s="984"/>
    </row>
    <row r="34" spans="1:19" ht="12.6" customHeight="1">
      <c r="A34" s="101" t="s">
        <v>260</v>
      </c>
      <c r="B34" s="108"/>
      <c r="C34" s="102"/>
      <c r="D34" s="100"/>
      <c r="E34" s="221">
        <v>62000</v>
      </c>
      <c r="F34" s="100"/>
      <c r="G34" s="221">
        <v>0</v>
      </c>
      <c r="H34" s="100"/>
      <c r="I34" s="221">
        <f>K34-G34</f>
        <v>70000</v>
      </c>
      <c r="J34" s="100"/>
      <c r="K34" s="221">
        <v>70000</v>
      </c>
      <c r="L34" s="100"/>
      <c r="M34" s="221">
        <v>80000</v>
      </c>
      <c r="N34" s="975"/>
      <c r="O34" s="1059">
        <v>0</v>
      </c>
      <c r="P34" s="1115"/>
      <c r="Q34" s="963"/>
    </row>
    <row r="35" spans="1:19" ht="12.6" customHeight="1">
      <c r="A35" s="101" t="s">
        <v>764</v>
      </c>
      <c r="B35" s="108"/>
      <c r="C35" s="102"/>
      <c r="D35" s="100"/>
      <c r="E35" s="221">
        <v>0</v>
      </c>
      <c r="F35" s="100"/>
      <c r="G35" s="221">
        <v>0</v>
      </c>
      <c r="H35" s="100"/>
      <c r="I35" s="221">
        <f>K35-G35</f>
        <v>179955</v>
      </c>
      <c r="J35" s="100"/>
      <c r="K35" s="221">
        <v>179955</v>
      </c>
      <c r="L35" s="100"/>
      <c r="M35" s="221">
        <v>0</v>
      </c>
      <c r="N35" s="975"/>
      <c r="O35" s="1059">
        <v>0</v>
      </c>
      <c r="P35" s="1115"/>
      <c r="Q35" s="963"/>
    </row>
    <row r="36" spans="1:19" ht="12.6" customHeight="1">
      <c r="A36" s="101" t="s">
        <v>259</v>
      </c>
      <c r="B36" s="108"/>
      <c r="C36" s="102"/>
      <c r="D36" s="100"/>
      <c r="E36" s="222">
        <v>10000</v>
      </c>
      <c r="F36" s="100"/>
      <c r="G36" s="222">
        <v>5000</v>
      </c>
      <c r="H36" s="100"/>
      <c r="I36" s="221">
        <f>K36-G36</f>
        <v>0</v>
      </c>
      <c r="J36" s="100"/>
      <c r="K36" s="222">
        <v>5000</v>
      </c>
      <c r="L36" s="104"/>
      <c r="M36" s="222">
        <v>5000</v>
      </c>
      <c r="N36" s="975"/>
      <c r="O36" s="1059">
        <v>0</v>
      </c>
      <c r="P36" s="1115"/>
      <c r="Q36" s="963"/>
    </row>
    <row r="37" spans="1:19" ht="12.6" customHeight="1">
      <c r="A37" s="1325" t="s">
        <v>14</v>
      </c>
      <c r="B37" s="1326"/>
      <c r="C37" s="102"/>
      <c r="D37" s="109" t="s">
        <v>15</v>
      </c>
      <c r="E37" s="110">
        <f>SUM(E16:E36)</f>
        <v>4221470.8899999987</v>
      </c>
      <c r="F37" s="109" t="s">
        <v>15</v>
      </c>
      <c r="G37" s="110">
        <f>SUM(G16:G36)</f>
        <v>2385935.8299999996</v>
      </c>
      <c r="H37" s="109" t="s">
        <v>15</v>
      </c>
      <c r="I37" s="110">
        <f>SUM(I16:I36)</f>
        <v>3984177.1700000004</v>
      </c>
      <c r="J37" s="109" t="s">
        <v>15</v>
      </c>
      <c r="K37" s="110">
        <f>SUM(K16:K36)</f>
        <v>6370113</v>
      </c>
      <c r="L37" s="109" t="s">
        <v>15</v>
      </c>
      <c r="M37" s="110">
        <f>SUM(M16:M36)</f>
        <v>7374504</v>
      </c>
      <c r="N37" s="977" t="s">
        <v>15</v>
      </c>
      <c r="O37" s="1033">
        <f>SUM(O16:O36)</f>
        <v>0</v>
      </c>
      <c r="P37" s="1039"/>
    </row>
    <row r="38" spans="1:19" ht="12.6" customHeight="1">
      <c r="A38" s="97" t="s">
        <v>282</v>
      </c>
      <c r="B38" s="98"/>
      <c r="C38" s="102"/>
      <c r="D38" s="120"/>
      <c r="E38" s="117"/>
      <c r="F38" s="120"/>
      <c r="G38" s="117"/>
      <c r="H38" s="120"/>
      <c r="I38" s="117"/>
      <c r="J38" s="120"/>
      <c r="K38" s="117"/>
      <c r="L38" s="120"/>
      <c r="M38" s="117"/>
      <c r="N38" s="969"/>
      <c r="O38" s="970"/>
      <c r="P38" s="984" t="s">
        <v>1189</v>
      </c>
    </row>
    <row r="39" spans="1:19" ht="12.6" customHeight="1">
      <c r="A39" s="101" t="s">
        <v>41</v>
      </c>
      <c r="B39" s="98"/>
      <c r="C39" s="102" t="s">
        <v>126</v>
      </c>
      <c r="D39" s="100" t="s">
        <v>15</v>
      </c>
      <c r="E39" s="7">
        <v>309096</v>
      </c>
      <c r="F39" s="100" t="s">
        <v>15</v>
      </c>
      <c r="G39" s="7">
        <v>76940</v>
      </c>
      <c r="H39" s="111" t="s">
        <v>15</v>
      </c>
      <c r="I39" s="7">
        <f>K39-G39</f>
        <v>543060</v>
      </c>
      <c r="J39" s="100" t="s">
        <v>15</v>
      </c>
      <c r="K39" s="7">
        <f>570000+50000</f>
        <v>620000</v>
      </c>
      <c r="L39" s="100" t="s">
        <v>15</v>
      </c>
      <c r="M39" s="7">
        <v>480000</v>
      </c>
      <c r="N39" s="973" t="s">
        <v>15</v>
      </c>
      <c r="O39" s="1036">
        <f>M39-K39</f>
        <v>-140000</v>
      </c>
      <c r="P39" s="984">
        <v>50000</v>
      </c>
      <c r="Q39" s="963">
        <f>O39-K39</f>
        <v>-760000</v>
      </c>
      <c r="R39" s="963">
        <f>K39*0.1</f>
        <v>62000</v>
      </c>
      <c r="S39" s="963">
        <f>K39+R39</f>
        <v>682000</v>
      </c>
    </row>
    <row r="40" spans="1:19" ht="12.6" customHeight="1">
      <c r="A40" s="101" t="s">
        <v>42</v>
      </c>
      <c r="B40" s="98"/>
      <c r="C40" s="102" t="s">
        <v>127</v>
      </c>
      <c r="D40" s="100"/>
      <c r="E40" s="7">
        <v>2000</v>
      </c>
      <c r="F40" s="100"/>
      <c r="G40" s="7">
        <v>0</v>
      </c>
      <c r="H40" s="111"/>
      <c r="I40" s="7">
        <f t="shared" ref="I40:I72" si="1">K40-G40</f>
        <v>350000</v>
      </c>
      <c r="J40" s="100"/>
      <c r="K40" s="7">
        <v>350000</v>
      </c>
      <c r="L40" s="100"/>
      <c r="M40" s="7">
        <v>350000</v>
      </c>
      <c r="N40" s="975"/>
      <c r="O40" s="1036">
        <f t="shared" ref="O40:O67" si="2">M40-K40</f>
        <v>0</v>
      </c>
      <c r="P40" s="984"/>
      <c r="Q40" s="963">
        <f t="shared" ref="Q40:Q72" si="3">O40-K40</f>
        <v>-350000</v>
      </c>
      <c r="R40" s="963">
        <f t="shared" ref="R40:R65" si="4">K40*0.1</f>
        <v>35000</v>
      </c>
      <c r="S40" s="963">
        <f t="shared" ref="S40:S65" si="5">K40+R40</f>
        <v>385000</v>
      </c>
    </row>
    <row r="41" spans="1:19" ht="12.6" customHeight="1">
      <c r="A41" s="101" t="s">
        <v>28</v>
      </c>
      <c r="B41" s="98"/>
      <c r="C41" s="102" t="s">
        <v>128</v>
      </c>
      <c r="D41" s="100"/>
      <c r="E41" s="7">
        <v>90536</v>
      </c>
      <c r="F41" s="100"/>
      <c r="G41" s="7">
        <v>4203</v>
      </c>
      <c r="H41" s="111"/>
      <c r="I41" s="7">
        <f>K41-G41</f>
        <v>290322</v>
      </c>
      <c r="J41" s="100"/>
      <c r="K41" s="7">
        <f>200000+94525</f>
        <v>294525</v>
      </c>
      <c r="L41" s="100"/>
      <c r="M41" s="7">
        <v>295000</v>
      </c>
      <c r="N41" s="975"/>
      <c r="O41" s="1036">
        <f t="shared" si="2"/>
        <v>475</v>
      </c>
      <c r="P41" s="984">
        <f>20000+25000+22500+15500+4875+6650</f>
        <v>94525</v>
      </c>
      <c r="Q41" s="963">
        <f t="shared" si="3"/>
        <v>-294050</v>
      </c>
      <c r="R41" s="963">
        <f t="shared" si="4"/>
        <v>29452.5</v>
      </c>
      <c r="S41" s="963">
        <f t="shared" si="5"/>
        <v>323977.5</v>
      </c>
    </row>
    <row r="42" spans="1:19" ht="12.6" customHeight="1">
      <c r="A42" s="101" t="s">
        <v>48</v>
      </c>
      <c r="B42" s="98"/>
      <c r="C42" s="102" t="s">
        <v>178</v>
      </c>
      <c r="D42" s="100"/>
      <c r="E42" s="7">
        <v>55605.86</v>
      </c>
      <c r="F42" s="100"/>
      <c r="G42" s="7">
        <v>1378</v>
      </c>
      <c r="H42" s="111"/>
      <c r="I42" s="7">
        <f t="shared" si="1"/>
        <v>98622</v>
      </c>
      <c r="J42" s="100"/>
      <c r="K42" s="7">
        <v>100000</v>
      </c>
      <c r="L42" s="100"/>
      <c r="M42" s="7">
        <v>100000</v>
      </c>
      <c r="N42" s="975"/>
      <c r="O42" s="1036">
        <f t="shared" si="2"/>
        <v>0</v>
      </c>
      <c r="P42" s="984"/>
      <c r="Q42" s="963">
        <f t="shared" si="3"/>
        <v>-100000</v>
      </c>
      <c r="R42" s="963">
        <f t="shared" si="4"/>
        <v>10000</v>
      </c>
      <c r="S42" s="963">
        <f t="shared" si="5"/>
        <v>110000</v>
      </c>
    </row>
    <row r="43" spans="1:19" ht="12.6" customHeight="1">
      <c r="A43" s="101" t="s">
        <v>130</v>
      </c>
      <c r="B43" s="98"/>
      <c r="C43" s="102" t="s">
        <v>129</v>
      </c>
      <c r="D43" s="100"/>
      <c r="E43" s="7">
        <v>443749.1</v>
      </c>
      <c r="F43" s="100"/>
      <c r="G43" s="7">
        <v>272310.53999999998</v>
      </c>
      <c r="H43" s="111"/>
      <c r="I43" s="7">
        <f t="shared" si="1"/>
        <v>617689.46</v>
      </c>
      <c r="J43" s="100"/>
      <c r="K43" s="7">
        <f>750000+90000+50000</f>
        <v>890000</v>
      </c>
      <c r="L43" s="100"/>
      <c r="M43" s="7">
        <v>991000</v>
      </c>
      <c r="N43" s="975"/>
      <c r="O43" s="1036">
        <f t="shared" si="2"/>
        <v>101000</v>
      </c>
      <c r="P43" s="984">
        <f>50000+10000+30000</f>
        <v>90000</v>
      </c>
      <c r="Q43" s="963">
        <f t="shared" si="3"/>
        <v>-789000</v>
      </c>
      <c r="R43" s="963">
        <f t="shared" si="4"/>
        <v>89000</v>
      </c>
      <c r="S43" s="963">
        <f t="shared" si="5"/>
        <v>979000</v>
      </c>
    </row>
    <row r="44" spans="1:19" ht="12.6" customHeight="1">
      <c r="A44" s="101" t="s">
        <v>179</v>
      </c>
      <c r="B44" s="98"/>
      <c r="C44" s="102" t="s">
        <v>180</v>
      </c>
      <c r="D44" s="100"/>
      <c r="E44" s="7">
        <v>78079</v>
      </c>
      <c r="F44" s="100"/>
      <c r="G44" s="7">
        <v>0</v>
      </c>
      <c r="H44" s="111"/>
      <c r="I44" s="7">
        <f t="shared" si="1"/>
        <v>1077000</v>
      </c>
      <c r="J44" s="100"/>
      <c r="K44" s="7">
        <f>275000+802000</f>
        <v>1077000</v>
      </c>
      <c r="L44" s="100"/>
      <c r="M44" s="7">
        <v>700000</v>
      </c>
      <c r="N44" s="975"/>
      <c r="O44" s="1036">
        <f t="shared" si="2"/>
        <v>-377000</v>
      </c>
      <c r="P44" s="984">
        <f>400000+50000+50000+169000+133000</f>
        <v>802000</v>
      </c>
      <c r="Q44" s="963">
        <f t="shared" si="3"/>
        <v>-1454000</v>
      </c>
      <c r="R44" s="963">
        <f t="shared" si="4"/>
        <v>107700</v>
      </c>
      <c r="S44" s="963">
        <f t="shared" si="5"/>
        <v>1184700</v>
      </c>
    </row>
    <row r="45" spans="1:19" ht="12.6" customHeight="1">
      <c r="A45" s="101" t="s">
        <v>497</v>
      </c>
      <c r="B45" s="98"/>
      <c r="C45" s="102" t="s">
        <v>174</v>
      </c>
      <c r="D45" s="100"/>
      <c r="E45" s="7">
        <v>222304.28</v>
      </c>
      <c r="F45" s="100"/>
      <c r="G45" s="7">
        <v>15979</v>
      </c>
      <c r="H45" s="111"/>
      <c r="I45" s="7">
        <f t="shared" si="1"/>
        <v>604021</v>
      </c>
      <c r="J45" s="100"/>
      <c r="K45" s="7">
        <f>150000+420000+50000</f>
        <v>620000</v>
      </c>
      <c r="L45" s="100"/>
      <c r="M45" s="7">
        <v>500000</v>
      </c>
      <c r="N45" s="975"/>
      <c r="O45" s="1036">
        <f t="shared" si="2"/>
        <v>-120000</v>
      </c>
      <c r="P45" s="984">
        <f>100000+50000+100000+140000+30000</f>
        <v>420000</v>
      </c>
      <c r="Q45" s="963">
        <f t="shared" si="3"/>
        <v>-740000</v>
      </c>
      <c r="R45" s="963"/>
      <c r="S45" s="963"/>
    </row>
    <row r="46" spans="1:19" ht="12.6" customHeight="1">
      <c r="A46" s="101" t="s">
        <v>501</v>
      </c>
      <c r="B46" s="98"/>
      <c r="C46" s="102" t="s">
        <v>131</v>
      </c>
      <c r="D46" s="100"/>
      <c r="E46" s="7">
        <v>480</v>
      </c>
      <c r="F46" s="100"/>
      <c r="G46" s="7">
        <v>0</v>
      </c>
      <c r="H46" s="111"/>
      <c r="I46" s="7">
        <f t="shared" si="1"/>
        <v>5000</v>
      </c>
      <c r="J46" s="100"/>
      <c r="K46" s="7">
        <v>5000</v>
      </c>
      <c r="L46" s="100"/>
      <c r="M46" s="7">
        <v>3500</v>
      </c>
      <c r="N46" s="975"/>
      <c r="O46" s="1036">
        <f t="shared" si="2"/>
        <v>-1500</v>
      </c>
      <c r="P46" s="984"/>
      <c r="Q46" s="963">
        <f t="shared" si="3"/>
        <v>-6500</v>
      </c>
      <c r="R46" s="963"/>
      <c r="S46" s="963"/>
    </row>
    <row r="47" spans="1:19" ht="12.6" customHeight="1">
      <c r="A47" s="101" t="s">
        <v>163</v>
      </c>
      <c r="B47" s="98"/>
      <c r="C47" s="102" t="s">
        <v>133</v>
      </c>
      <c r="D47" s="100"/>
      <c r="E47" s="7">
        <v>24422.240000000002</v>
      </c>
      <c r="F47" s="100"/>
      <c r="G47" s="7">
        <v>7145.15</v>
      </c>
      <c r="H47" s="111"/>
      <c r="I47" s="7">
        <f t="shared" si="1"/>
        <v>32854.85</v>
      </c>
      <c r="J47" s="100"/>
      <c r="K47" s="7">
        <v>40000</v>
      </c>
      <c r="L47" s="100"/>
      <c r="M47" s="7">
        <v>40000</v>
      </c>
      <c r="N47" s="975"/>
      <c r="O47" s="1036">
        <f t="shared" si="2"/>
        <v>0</v>
      </c>
      <c r="P47" s="984"/>
      <c r="Q47" s="963">
        <f t="shared" si="3"/>
        <v>-40000</v>
      </c>
      <c r="R47" s="963">
        <f t="shared" si="4"/>
        <v>4000</v>
      </c>
      <c r="S47" s="963">
        <f t="shared" si="5"/>
        <v>44000</v>
      </c>
    </row>
    <row r="48" spans="1:19" ht="12.6" customHeight="1">
      <c r="A48" s="101" t="s">
        <v>232</v>
      </c>
      <c r="B48" s="98"/>
      <c r="C48" s="102" t="s">
        <v>134</v>
      </c>
      <c r="D48" s="100"/>
      <c r="E48" s="7">
        <v>33118.97</v>
      </c>
      <c r="F48" s="100"/>
      <c r="G48" s="7">
        <v>6507.06</v>
      </c>
      <c r="H48" s="111"/>
      <c r="I48" s="7">
        <f t="shared" si="1"/>
        <v>29492.94</v>
      </c>
      <c r="J48" s="100"/>
      <c r="K48" s="7">
        <v>36000</v>
      </c>
      <c r="L48" s="100"/>
      <c r="M48" s="7">
        <v>36000</v>
      </c>
      <c r="N48" s="975"/>
      <c r="O48" s="1036">
        <f t="shared" si="2"/>
        <v>0</v>
      </c>
      <c r="P48" s="984"/>
      <c r="Q48" s="963">
        <f t="shared" si="3"/>
        <v>-36000</v>
      </c>
      <c r="R48" s="963">
        <f t="shared" si="4"/>
        <v>3600</v>
      </c>
      <c r="S48" s="963">
        <f t="shared" si="5"/>
        <v>39600</v>
      </c>
    </row>
    <row r="49" spans="1:19" ht="12" customHeight="1">
      <c r="A49" s="101" t="s">
        <v>138</v>
      </c>
      <c r="B49" s="98"/>
      <c r="C49" s="102" t="s">
        <v>137</v>
      </c>
      <c r="D49" s="100"/>
      <c r="E49" s="7">
        <v>9000</v>
      </c>
      <c r="F49" s="111"/>
      <c r="G49" s="7">
        <v>2670</v>
      </c>
      <c r="H49" s="111"/>
      <c r="I49" s="7">
        <f t="shared" si="1"/>
        <v>12330</v>
      </c>
      <c r="J49" s="111"/>
      <c r="K49" s="7">
        <v>15000</v>
      </c>
      <c r="L49" s="100"/>
      <c r="M49" s="7">
        <v>15000</v>
      </c>
      <c r="N49" s="975"/>
      <c r="O49" s="1036">
        <f t="shared" si="2"/>
        <v>0</v>
      </c>
      <c r="P49" s="984"/>
      <c r="Q49" s="963">
        <f t="shared" si="3"/>
        <v>-15000</v>
      </c>
      <c r="R49" s="963">
        <f>O49*0.1</f>
        <v>0</v>
      </c>
    </row>
    <row r="50" spans="1:19" ht="12.6" customHeight="1">
      <c r="A50" s="101" t="s">
        <v>32</v>
      </c>
      <c r="B50" s="98"/>
      <c r="C50" s="102" t="s">
        <v>140</v>
      </c>
      <c r="D50" s="100"/>
      <c r="E50" s="7">
        <v>2550</v>
      </c>
      <c r="F50" s="100"/>
      <c r="G50" s="7">
        <v>400</v>
      </c>
      <c r="H50" s="111"/>
      <c r="I50" s="7">
        <f t="shared" si="1"/>
        <v>4600</v>
      </c>
      <c r="J50" s="100"/>
      <c r="K50" s="7">
        <v>5000</v>
      </c>
      <c r="L50" s="100"/>
      <c r="M50" s="7">
        <v>2000</v>
      </c>
      <c r="N50" s="975"/>
      <c r="O50" s="1036">
        <f t="shared" si="2"/>
        <v>-3000</v>
      </c>
      <c r="P50" s="984"/>
      <c r="Q50" s="963">
        <f t="shared" si="3"/>
        <v>-8000</v>
      </c>
      <c r="R50" s="963"/>
      <c r="S50" s="963"/>
    </row>
    <row r="51" spans="1:19" ht="12.6" customHeight="1">
      <c r="A51" s="101" t="s">
        <v>142</v>
      </c>
      <c r="B51" s="98"/>
      <c r="C51" s="102" t="s">
        <v>141</v>
      </c>
      <c r="D51" s="100"/>
      <c r="E51" s="7">
        <v>4050</v>
      </c>
      <c r="F51" s="100"/>
      <c r="G51" s="7">
        <v>7893</v>
      </c>
      <c r="H51" s="111"/>
      <c r="I51" s="7">
        <f t="shared" si="1"/>
        <v>267107</v>
      </c>
      <c r="J51" s="100"/>
      <c r="K51" s="7">
        <v>275000</v>
      </c>
      <c r="L51" s="100"/>
      <c r="M51" s="7">
        <v>275000</v>
      </c>
      <c r="N51" s="975"/>
      <c r="O51" s="1036">
        <f t="shared" si="2"/>
        <v>0</v>
      </c>
      <c r="P51" s="984"/>
      <c r="Q51" s="963">
        <f t="shared" si="3"/>
        <v>-275000</v>
      </c>
      <c r="R51" s="963">
        <f t="shared" si="4"/>
        <v>27500</v>
      </c>
      <c r="S51" s="963">
        <f t="shared" si="5"/>
        <v>302500</v>
      </c>
    </row>
    <row r="52" spans="1:19" ht="12.6" customHeight="1">
      <c r="A52" s="101" t="s">
        <v>145</v>
      </c>
      <c r="B52" s="98"/>
      <c r="C52" s="102" t="s">
        <v>144</v>
      </c>
      <c r="D52" s="100"/>
      <c r="E52" s="7">
        <v>77575</v>
      </c>
      <c r="F52" s="100"/>
      <c r="G52" s="7">
        <v>450</v>
      </c>
      <c r="H52" s="111"/>
      <c r="I52" s="7">
        <f t="shared" si="1"/>
        <v>199550</v>
      </c>
      <c r="J52" s="100"/>
      <c r="K52" s="7">
        <v>200000</v>
      </c>
      <c r="L52" s="100"/>
      <c r="M52" s="7">
        <v>100000</v>
      </c>
      <c r="N52" s="975"/>
      <c r="O52" s="1036">
        <f t="shared" si="2"/>
        <v>-100000</v>
      </c>
      <c r="P52" s="984"/>
      <c r="Q52" s="963">
        <f t="shared" si="3"/>
        <v>-300000</v>
      </c>
      <c r="R52" s="963">
        <f t="shared" si="4"/>
        <v>20000</v>
      </c>
      <c r="S52" s="963">
        <f t="shared" si="5"/>
        <v>220000</v>
      </c>
    </row>
    <row r="53" spans="1:19" ht="12.6" customHeight="1">
      <c r="A53" s="101" t="s">
        <v>33</v>
      </c>
      <c r="B53" s="766"/>
      <c r="C53" s="102" t="s">
        <v>148</v>
      </c>
      <c r="D53" s="100"/>
      <c r="E53" s="157"/>
      <c r="F53" s="100"/>
      <c r="G53" s="7"/>
      <c r="H53" s="111"/>
      <c r="I53" s="7">
        <f t="shared" si="1"/>
        <v>0</v>
      </c>
      <c r="J53" s="100"/>
      <c r="K53" s="7">
        <v>0</v>
      </c>
      <c r="L53" s="100"/>
      <c r="M53" s="7">
        <v>0</v>
      </c>
      <c r="N53" s="975"/>
      <c r="O53" s="996">
        <v>0</v>
      </c>
      <c r="P53" s="984"/>
      <c r="Q53" s="963">
        <f t="shared" si="3"/>
        <v>0</v>
      </c>
      <c r="R53" s="963">
        <f t="shared" si="4"/>
        <v>0</v>
      </c>
      <c r="S53" s="963">
        <f t="shared" si="5"/>
        <v>0</v>
      </c>
    </row>
    <row r="54" spans="1:19" ht="12.6" customHeight="1">
      <c r="A54" s="101"/>
      <c r="B54" s="7" t="s">
        <v>342</v>
      </c>
      <c r="C54" s="102"/>
      <c r="D54" s="100"/>
      <c r="E54" s="7">
        <v>2976878.36</v>
      </c>
      <c r="F54" s="100"/>
      <c r="G54" s="7">
        <v>685728.31</v>
      </c>
      <c r="H54" s="111"/>
      <c r="I54" s="7">
        <f t="shared" si="1"/>
        <v>2537271.69</v>
      </c>
      <c r="J54" s="100"/>
      <c r="K54" s="7">
        <v>3223000</v>
      </c>
      <c r="L54" s="100"/>
      <c r="M54" s="7">
        <f>60000+3283000</f>
        <v>3343000</v>
      </c>
      <c r="N54" s="975"/>
      <c r="O54" s="1036">
        <f t="shared" si="2"/>
        <v>120000</v>
      </c>
      <c r="P54" s="984"/>
      <c r="Q54" s="963">
        <f t="shared" si="3"/>
        <v>-3103000</v>
      </c>
      <c r="R54" s="963">
        <f t="shared" si="4"/>
        <v>322300</v>
      </c>
      <c r="S54" s="963">
        <f t="shared" si="5"/>
        <v>3545300</v>
      </c>
    </row>
    <row r="55" spans="1:19" ht="12.6" customHeight="1">
      <c r="A55" s="101"/>
      <c r="B55" s="7" t="s">
        <v>101</v>
      </c>
      <c r="C55" s="102"/>
      <c r="D55" s="100"/>
      <c r="E55" s="7">
        <v>234153.7</v>
      </c>
      <c r="F55" s="100"/>
      <c r="G55" s="7">
        <v>1900</v>
      </c>
      <c r="H55" s="111"/>
      <c r="I55" s="7">
        <f t="shared" si="1"/>
        <v>482975</v>
      </c>
      <c r="J55" s="100"/>
      <c r="K55" s="7">
        <v>484875</v>
      </c>
      <c r="L55" s="100"/>
      <c r="M55" s="7">
        <v>400000</v>
      </c>
      <c r="N55" s="975"/>
      <c r="O55" s="1036">
        <f t="shared" si="2"/>
        <v>-84875</v>
      </c>
      <c r="P55" s="984">
        <v>84875</v>
      </c>
      <c r="Q55" s="963">
        <f t="shared" si="3"/>
        <v>-569750</v>
      </c>
      <c r="R55" s="963">
        <f t="shared" si="4"/>
        <v>48487.5</v>
      </c>
      <c r="S55" s="963">
        <f t="shared" si="5"/>
        <v>533362.5</v>
      </c>
    </row>
    <row r="56" spans="1:19" ht="12.6" customHeight="1">
      <c r="A56" s="101"/>
      <c r="B56" s="7" t="s">
        <v>102</v>
      </c>
      <c r="C56" s="102"/>
      <c r="D56" s="100"/>
      <c r="E56" s="7">
        <v>0</v>
      </c>
      <c r="F56" s="100"/>
      <c r="G56" s="7">
        <v>0</v>
      </c>
      <c r="H56" s="111"/>
      <c r="I56" s="7">
        <f t="shared" si="1"/>
        <v>150000</v>
      </c>
      <c r="J56" s="100"/>
      <c r="K56" s="7">
        <v>150000</v>
      </c>
      <c r="L56" s="100"/>
      <c r="M56" s="7">
        <v>100000</v>
      </c>
      <c r="N56" s="975"/>
      <c r="O56" s="1036">
        <f t="shared" si="2"/>
        <v>-50000</v>
      </c>
      <c r="P56" s="984"/>
      <c r="Q56" s="963">
        <f t="shared" si="3"/>
        <v>-200000</v>
      </c>
      <c r="R56" s="963">
        <f t="shared" si="4"/>
        <v>15000</v>
      </c>
      <c r="S56" s="963">
        <f t="shared" si="5"/>
        <v>165000</v>
      </c>
    </row>
    <row r="57" spans="1:19" ht="12.6" customHeight="1">
      <c r="A57" s="101"/>
      <c r="B57" s="7" t="s">
        <v>103</v>
      </c>
      <c r="C57" s="102"/>
      <c r="D57" s="100"/>
      <c r="E57" s="7">
        <v>0</v>
      </c>
      <c r="F57" s="100"/>
      <c r="G57" s="7">
        <v>0</v>
      </c>
      <c r="H57" s="111"/>
      <c r="I57" s="7">
        <f t="shared" si="1"/>
        <v>100000</v>
      </c>
      <c r="J57" s="100"/>
      <c r="K57" s="7">
        <v>100000</v>
      </c>
      <c r="L57" s="100"/>
      <c r="M57" s="7">
        <v>75000</v>
      </c>
      <c r="N57" s="975"/>
      <c r="O57" s="1036">
        <f t="shared" si="2"/>
        <v>-25000</v>
      </c>
      <c r="P57" s="984"/>
      <c r="Q57" s="963">
        <f t="shared" si="3"/>
        <v>-125000</v>
      </c>
      <c r="R57" s="963">
        <f t="shared" si="4"/>
        <v>10000</v>
      </c>
      <c r="S57" s="963">
        <f t="shared" si="5"/>
        <v>110000</v>
      </c>
    </row>
    <row r="58" spans="1:19" ht="12.6" customHeight="1">
      <c r="A58" s="101"/>
      <c r="B58" s="7" t="s">
        <v>464</v>
      </c>
      <c r="C58" s="102"/>
      <c r="D58" s="100"/>
      <c r="E58" s="157"/>
      <c r="F58" s="100"/>
      <c r="G58" s="7"/>
      <c r="H58" s="111"/>
      <c r="I58" s="7"/>
      <c r="J58" s="100"/>
      <c r="K58" s="7"/>
      <c r="L58" s="100"/>
      <c r="M58" s="7"/>
      <c r="N58" s="975"/>
      <c r="O58" s="996"/>
      <c r="P58" s="984"/>
      <c r="Q58" s="963">
        <f t="shared" si="3"/>
        <v>0</v>
      </c>
      <c r="R58" s="963">
        <f t="shared" si="4"/>
        <v>0</v>
      </c>
      <c r="S58" s="963">
        <f t="shared" si="5"/>
        <v>0</v>
      </c>
    </row>
    <row r="59" spans="1:19" ht="12.6" customHeight="1">
      <c r="A59" s="101"/>
      <c r="B59" s="7" t="s">
        <v>105</v>
      </c>
      <c r="C59" s="102"/>
      <c r="D59" s="100"/>
      <c r="E59" s="7">
        <v>69150</v>
      </c>
      <c r="F59" s="100"/>
      <c r="G59" s="7">
        <v>0</v>
      </c>
      <c r="H59" s="111"/>
      <c r="I59" s="7">
        <f t="shared" si="1"/>
        <v>150000</v>
      </c>
      <c r="J59" s="100"/>
      <c r="K59" s="7">
        <v>150000</v>
      </c>
      <c r="L59" s="100"/>
      <c r="M59" s="7">
        <v>100000</v>
      </c>
      <c r="N59" s="975"/>
      <c r="O59" s="1036">
        <f t="shared" si="2"/>
        <v>-50000</v>
      </c>
      <c r="P59" s="984"/>
      <c r="Q59" s="963">
        <f t="shared" si="3"/>
        <v>-200000</v>
      </c>
      <c r="R59" s="963">
        <f t="shared" si="4"/>
        <v>15000</v>
      </c>
      <c r="S59" s="963">
        <f t="shared" si="5"/>
        <v>165000</v>
      </c>
    </row>
    <row r="60" spans="1:19" ht="12.6" customHeight="1">
      <c r="A60" s="101"/>
      <c r="B60" s="7" t="s">
        <v>386</v>
      </c>
      <c r="C60" s="102"/>
      <c r="D60" s="100"/>
      <c r="E60" s="7">
        <v>0</v>
      </c>
      <c r="F60" s="100"/>
      <c r="G60" s="7">
        <v>0</v>
      </c>
      <c r="H60" s="111"/>
      <c r="I60" s="7">
        <f t="shared" si="1"/>
        <v>175000</v>
      </c>
      <c r="J60" s="100"/>
      <c r="K60" s="7">
        <v>175000</v>
      </c>
      <c r="L60" s="100"/>
      <c r="M60" s="7">
        <v>100000</v>
      </c>
      <c r="N60" s="975"/>
      <c r="O60" s="1036">
        <f t="shared" si="2"/>
        <v>-75000</v>
      </c>
      <c r="P60" s="984"/>
      <c r="Q60" s="963">
        <f t="shared" si="3"/>
        <v>-250000</v>
      </c>
      <c r="R60" s="963">
        <f t="shared" si="4"/>
        <v>17500</v>
      </c>
      <c r="S60" s="963">
        <f t="shared" si="5"/>
        <v>192500</v>
      </c>
    </row>
    <row r="61" spans="1:19" ht="12.6" customHeight="1">
      <c r="A61" s="101"/>
      <c r="B61" s="7" t="s">
        <v>498</v>
      </c>
      <c r="C61" s="102"/>
      <c r="D61" s="100"/>
      <c r="E61" s="7">
        <v>144</v>
      </c>
      <c r="F61" s="111"/>
      <c r="G61" s="7">
        <v>0</v>
      </c>
      <c r="H61" s="111"/>
      <c r="I61" s="7">
        <f t="shared" si="1"/>
        <v>3000</v>
      </c>
      <c r="J61" s="111"/>
      <c r="K61" s="7">
        <v>3000</v>
      </c>
      <c r="L61" s="100"/>
      <c r="M61" s="7">
        <v>3000</v>
      </c>
      <c r="N61" s="975"/>
      <c r="O61" s="1036">
        <f t="shared" si="2"/>
        <v>0</v>
      </c>
      <c r="P61" s="984"/>
      <c r="Q61" s="963">
        <f t="shared" si="3"/>
        <v>-3000</v>
      </c>
      <c r="R61" s="963"/>
      <c r="S61" s="963"/>
    </row>
    <row r="62" spans="1:19" ht="12.6" customHeight="1">
      <c r="A62" s="101"/>
      <c r="B62" s="7" t="s">
        <v>499</v>
      </c>
      <c r="C62" s="102"/>
      <c r="D62" s="100"/>
      <c r="E62" s="7">
        <v>0</v>
      </c>
      <c r="F62" s="111"/>
      <c r="G62" s="7">
        <v>19000</v>
      </c>
      <c r="H62" s="111"/>
      <c r="I62" s="7">
        <f t="shared" si="1"/>
        <v>81000</v>
      </c>
      <c r="J62" s="111"/>
      <c r="K62" s="7">
        <v>100000</v>
      </c>
      <c r="L62" s="100"/>
      <c r="M62" s="7">
        <v>75000</v>
      </c>
      <c r="N62" s="975"/>
      <c r="O62" s="1036">
        <f t="shared" si="2"/>
        <v>-25000</v>
      </c>
      <c r="P62" s="984"/>
      <c r="Q62" s="963">
        <f t="shared" si="3"/>
        <v>-125000</v>
      </c>
      <c r="R62" s="963">
        <f t="shared" ref="R62" si="6">K62*0.1</f>
        <v>10000</v>
      </c>
      <c r="S62" s="963">
        <f t="shared" ref="S62" si="7">K62+R62</f>
        <v>110000</v>
      </c>
    </row>
    <row r="63" spans="1:19" ht="12.6" customHeight="1">
      <c r="A63" s="101"/>
      <c r="B63" s="7" t="s">
        <v>743</v>
      </c>
      <c r="C63" s="102"/>
      <c r="D63" s="100"/>
      <c r="E63" s="7">
        <v>171523.25</v>
      </c>
      <c r="F63" s="111"/>
      <c r="G63" s="7">
        <v>51590.95</v>
      </c>
      <c r="H63" s="111"/>
      <c r="I63" s="7">
        <f t="shared" si="1"/>
        <v>352009.05</v>
      </c>
      <c r="J63" s="111"/>
      <c r="K63" s="7">
        <f>100000+303600</f>
        <v>403600</v>
      </c>
      <c r="L63" s="100"/>
      <c r="M63" s="7">
        <v>300000</v>
      </c>
      <c r="N63" s="975"/>
      <c r="O63" s="1036">
        <f t="shared" si="2"/>
        <v>-103600</v>
      </c>
      <c r="P63" s="984">
        <f>30000+45000+20000+10000+27000+31600+50000+90000</f>
        <v>303600</v>
      </c>
      <c r="Q63" s="963">
        <f t="shared" si="3"/>
        <v>-507200</v>
      </c>
      <c r="R63" s="963">
        <f t="shared" si="4"/>
        <v>40360</v>
      </c>
      <c r="S63" s="963">
        <f t="shared" si="5"/>
        <v>443960</v>
      </c>
    </row>
    <row r="64" spans="1:19" ht="12.6" customHeight="1">
      <c r="A64" s="101"/>
      <c r="B64" s="7" t="s">
        <v>892</v>
      </c>
      <c r="C64" s="102"/>
      <c r="D64" s="100"/>
      <c r="E64" s="7">
        <v>0</v>
      </c>
      <c r="F64" s="111"/>
      <c r="G64" s="7">
        <v>0</v>
      </c>
      <c r="H64" s="111"/>
      <c r="I64" s="7">
        <f t="shared" ref="I64" si="8">K64-G64</f>
        <v>250000</v>
      </c>
      <c r="J64" s="111"/>
      <c r="K64" s="7">
        <v>250000</v>
      </c>
      <c r="L64" s="100"/>
      <c r="M64" s="7">
        <v>150000</v>
      </c>
      <c r="N64" s="975"/>
      <c r="O64" s="1036">
        <f t="shared" ref="O64" si="9">M64-K64</f>
        <v>-100000</v>
      </c>
      <c r="P64" s="984"/>
      <c r="Q64" s="963">
        <f t="shared" ref="Q64" si="10">O64-K64</f>
        <v>-350000</v>
      </c>
      <c r="R64" s="963">
        <f t="shared" ref="R64" si="11">K64*0.1</f>
        <v>25000</v>
      </c>
      <c r="S64" s="963">
        <f t="shared" ref="S64" si="12">K64+R64</f>
        <v>275000</v>
      </c>
    </row>
    <row r="65" spans="1:21" ht="12.6" customHeight="1">
      <c r="A65" s="101"/>
      <c r="B65" s="7" t="s">
        <v>1117</v>
      </c>
      <c r="C65" s="102"/>
      <c r="D65" s="100"/>
      <c r="E65" s="7">
        <v>0</v>
      </c>
      <c r="F65" s="111"/>
      <c r="G65" s="7"/>
      <c r="H65" s="111"/>
      <c r="I65" s="7">
        <f t="shared" si="1"/>
        <v>0</v>
      </c>
      <c r="J65" s="111"/>
      <c r="K65" s="7">
        <v>0</v>
      </c>
      <c r="L65" s="100"/>
      <c r="M65" s="7">
        <v>0</v>
      </c>
      <c r="N65" s="975"/>
      <c r="O65" s="1036">
        <f t="shared" si="2"/>
        <v>0</v>
      </c>
      <c r="P65" s="984"/>
      <c r="Q65" s="963">
        <f t="shared" si="3"/>
        <v>0</v>
      </c>
      <c r="R65" s="963">
        <f t="shared" si="4"/>
        <v>0</v>
      </c>
      <c r="S65" s="963">
        <f t="shared" si="5"/>
        <v>0</v>
      </c>
    </row>
    <row r="66" spans="1:21" s="8" customFormat="1" ht="12.75" customHeight="1">
      <c r="A66" s="101"/>
      <c r="B66" s="264" t="s">
        <v>1198</v>
      </c>
      <c r="C66" s="102"/>
      <c r="D66" s="100"/>
      <c r="E66" s="7">
        <v>0</v>
      </c>
      <c r="F66" s="157"/>
      <c r="G66" s="7">
        <v>0</v>
      </c>
      <c r="H66" s="157"/>
      <c r="I66" s="7">
        <f t="shared" ref="I66" si="13">K66-G66</f>
        <v>180000</v>
      </c>
      <c r="J66" s="111"/>
      <c r="K66" s="7">
        <v>180000</v>
      </c>
      <c r="L66" s="100"/>
      <c r="M66" s="7">
        <v>100000</v>
      </c>
      <c r="N66" s="975"/>
      <c r="O66" s="996">
        <f t="shared" si="2"/>
        <v>-80000</v>
      </c>
      <c r="P66" s="984">
        <f>180000</f>
        <v>180000</v>
      </c>
      <c r="Q66" s="1116">
        <f t="shared" ref="Q66" si="14">O66-K66</f>
        <v>-260000</v>
      </c>
      <c r="R66" s="1011"/>
      <c r="S66" s="1011"/>
      <c r="T66" s="813"/>
      <c r="U66" s="813"/>
    </row>
    <row r="67" spans="1:21" s="8" customFormat="1" ht="12.75" customHeight="1">
      <c r="A67" s="824"/>
      <c r="B67" s="825" t="s">
        <v>351</v>
      </c>
      <c r="C67" s="113"/>
      <c r="D67" s="104"/>
      <c r="E67" s="105"/>
      <c r="F67" s="183"/>
      <c r="G67" s="105"/>
      <c r="H67" s="183"/>
      <c r="I67" s="105">
        <f t="shared" si="1"/>
        <v>0</v>
      </c>
      <c r="J67" s="139"/>
      <c r="K67" s="105">
        <v>0</v>
      </c>
      <c r="L67" s="104"/>
      <c r="M67" s="105">
        <v>0</v>
      </c>
      <c r="N67" s="975"/>
      <c r="O67" s="996">
        <f t="shared" si="2"/>
        <v>0</v>
      </c>
      <c r="P67" s="984"/>
      <c r="Q67" s="1116">
        <f t="shared" si="3"/>
        <v>0</v>
      </c>
      <c r="R67" s="1011"/>
      <c r="S67" s="1011"/>
      <c r="T67" s="765"/>
      <c r="U67" s="765"/>
    </row>
    <row r="68" spans="1:21" s="8" customFormat="1">
      <c r="A68" s="101"/>
      <c r="B68" s="355" t="s">
        <v>366</v>
      </c>
      <c r="C68" s="102"/>
      <c r="D68" s="100"/>
      <c r="E68" s="7">
        <v>0</v>
      </c>
      <c r="F68" s="157"/>
      <c r="G68" s="7">
        <v>0</v>
      </c>
      <c r="H68" s="157"/>
      <c r="I68" s="7">
        <f t="shared" si="1"/>
        <v>50000</v>
      </c>
      <c r="J68" s="111"/>
      <c r="K68" s="7">
        <v>50000</v>
      </c>
      <c r="L68" s="100"/>
      <c r="M68" s="117">
        <v>20000</v>
      </c>
      <c r="N68" s="975"/>
      <c r="O68" s="1036">
        <f t="shared" ref="O68:O76" si="15">M68-K68</f>
        <v>-30000</v>
      </c>
      <c r="P68" s="984"/>
      <c r="Q68" s="1116">
        <f t="shared" si="3"/>
        <v>-80000</v>
      </c>
      <c r="R68" s="1011"/>
      <c r="S68" s="1011"/>
      <c r="T68" s="765"/>
      <c r="U68" s="765"/>
    </row>
    <row r="69" spans="1:21" s="8" customFormat="1">
      <c r="A69" s="101"/>
      <c r="B69" s="355" t="s">
        <v>390</v>
      </c>
      <c r="C69" s="102"/>
      <c r="D69" s="100"/>
      <c r="E69" s="7">
        <v>0</v>
      </c>
      <c r="F69" s="157"/>
      <c r="G69" s="7">
        <v>0</v>
      </c>
      <c r="H69" s="157"/>
      <c r="I69" s="7">
        <f t="shared" si="1"/>
        <v>50000</v>
      </c>
      <c r="J69" s="111"/>
      <c r="K69" s="7">
        <v>50000</v>
      </c>
      <c r="L69" s="100"/>
      <c r="M69" s="7">
        <v>50000</v>
      </c>
      <c r="N69" s="975"/>
      <c r="O69" s="1036">
        <f t="shared" si="15"/>
        <v>0</v>
      </c>
      <c r="P69" s="984"/>
      <c r="Q69" s="1116">
        <f t="shared" si="3"/>
        <v>-50000</v>
      </c>
      <c r="R69" s="1011"/>
      <c r="S69" s="1011"/>
      <c r="T69" s="765"/>
      <c r="U69" s="765"/>
    </row>
    <row r="70" spans="1:21" s="8" customFormat="1">
      <c r="A70" s="101"/>
      <c r="B70" s="355" t="s">
        <v>367</v>
      </c>
      <c r="C70" s="102"/>
      <c r="D70" s="100"/>
      <c r="E70" s="7">
        <v>59000</v>
      </c>
      <c r="F70" s="157"/>
      <c r="G70" s="7">
        <v>0</v>
      </c>
      <c r="H70" s="157"/>
      <c r="I70" s="7">
        <f t="shared" si="1"/>
        <v>100000</v>
      </c>
      <c r="J70" s="111"/>
      <c r="K70" s="7">
        <v>100000</v>
      </c>
      <c r="L70" s="100"/>
      <c r="M70" s="7">
        <v>100000</v>
      </c>
      <c r="N70" s="975"/>
      <c r="O70" s="1036">
        <f t="shared" si="15"/>
        <v>0</v>
      </c>
      <c r="P70" s="984"/>
      <c r="Q70" s="1116">
        <f t="shared" si="3"/>
        <v>-100000</v>
      </c>
      <c r="R70" s="1011"/>
      <c r="S70" s="1011"/>
      <c r="T70" s="765"/>
      <c r="U70" s="765"/>
    </row>
    <row r="71" spans="1:21" s="8" customFormat="1">
      <c r="A71" s="101"/>
      <c r="B71" s="355" t="s">
        <v>368</v>
      </c>
      <c r="C71" s="102"/>
      <c r="D71" s="100"/>
      <c r="E71" s="7">
        <v>79000</v>
      </c>
      <c r="F71" s="157"/>
      <c r="G71" s="7">
        <v>0</v>
      </c>
      <c r="H71" s="157"/>
      <c r="I71" s="7">
        <f t="shared" si="1"/>
        <v>270000</v>
      </c>
      <c r="J71" s="111"/>
      <c r="K71" s="7">
        <v>270000</v>
      </c>
      <c r="L71" s="100"/>
      <c r="M71" s="7">
        <v>220000</v>
      </c>
      <c r="N71" s="975"/>
      <c r="O71" s="1036">
        <f t="shared" si="15"/>
        <v>-50000</v>
      </c>
      <c r="P71" s="984"/>
      <c r="Q71" s="1116">
        <f t="shared" si="3"/>
        <v>-320000</v>
      </c>
      <c r="R71" s="1011"/>
      <c r="S71" s="1011"/>
      <c r="T71" s="765"/>
      <c r="U71" s="765"/>
    </row>
    <row r="72" spans="1:21" s="8" customFormat="1">
      <c r="A72" s="101"/>
      <c r="B72" s="355" t="s">
        <v>369</v>
      </c>
      <c r="C72" s="102"/>
      <c r="D72" s="100"/>
      <c r="E72" s="7">
        <v>3156</v>
      </c>
      <c r="F72" s="157"/>
      <c r="G72" s="7">
        <v>0</v>
      </c>
      <c r="H72" s="157"/>
      <c r="I72" s="7">
        <f t="shared" si="1"/>
        <v>10000</v>
      </c>
      <c r="J72" s="111"/>
      <c r="K72" s="7">
        <v>10000</v>
      </c>
      <c r="L72" s="100"/>
      <c r="M72" s="7">
        <v>10000</v>
      </c>
      <c r="N72" s="975"/>
      <c r="O72" s="1036">
        <f t="shared" si="15"/>
        <v>0</v>
      </c>
      <c r="P72" s="984"/>
      <c r="Q72" s="1116">
        <f t="shared" si="3"/>
        <v>-10000</v>
      </c>
      <c r="R72" s="1011"/>
      <c r="S72" s="1011"/>
      <c r="T72" s="765"/>
      <c r="U72" s="765"/>
    </row>
    <row r="73" spans="1:21" s="8" customFormat="1">
      <c r="A73" s="101"/>
      <c r="B73" s="355" t="s">
        <v>370</v>
      </c>
      <c r="C73" s="102"/>
      <c r="D73" s="100"/>
      <c r="E73" s="7">
        <v>0</v>
      </c>
      <c r="F73" s="157"/>
      <c r="G73" s="7">
        <v>3600</v>
      </c>
      <c r="H73" s="157"/>
      <c r="I73" s="7">
        <f>K73-G73</f>
        <v>16400</v>
      </c>
      <c r="J73" s="111"/>
      <c r="K73" s="7">
        <v>20000</v>
      </c>
      <c r="L73" s="100"/>
      <c r="M73" s="7">
        <v>0</v>
      </c>
      <c r="N73" s="975"/>
      <c r="O73" s="1036">
        <f t="shared" si="15"/>
        <v>-20000</v>
      </c>
      <c r="P73" s="984"/>
      <c r="Q73" s="1116">
        <f>O73-K73</f>
        <v>-40000</v>
      </c>
      <c r="R73" s="1011"/>
      <c r="S73" s="1011"/>
      <c r="T73" s="765"/>
      <c r="U73" s="765"/>
    </row>
    <row r="74" spans="1:21" s="8" customFormat="1">
      <c r="A74" s="101"/>
      <c r="B74" s="160" t="s">
        <v>352</v>
      </c>
      <c r="C74" s="102"/>
      <c r="D74" s="100"/>
      <c r="E74" s="7">
        <v>60000</v>
      </c>
      <c r="F74" s="157"/>
      <c r="G74" s="7">
        <v>0</v>
      </c>
      <c r="H74" s="157"/>
      <c r="I74" s="7">
        <f>K74-G74</f>
        <v>150000</v>
      </c>
      <c r="J74" s="111"/>
      <c r="K74" s="7">
        <v>150000</v>
      </c>
      <c r="L74" s="100"/>
      <c r="M74" s="7">
        <v>150000</v>
      </c>
      <c r="N74" s="975"/>
      <c r="O74" s="1036">
        <f t="shared" si="15"/>
        <v>0</v>
      </c>
      <c r="P74" s="984"/>
      <c r="Q74" s="1116">
        <f>O74-K74</f>
        <v>-150000</v>
      </c>
      <c r="R74" s="1011"/>
      <c r="S74" s="1011"/>
      <c r="T74" s="813"/>
      <c r="U74" s="813"/>
    </row>
    <row r="75" spans="1:21" s="8" customFormat="1">
      <c r="A75" s="101"/>
      <c r="B75" s="160" t="s">
        <v>1190</v>
      </c>
      <c r="C75" s="102"/>
      <c r="D75" s="100"/>
      <c r="E75" s="7">
        <v>0</v>
      </c>
      <c r="F75" s="157"/>
      <c r="G75" s="7">
        <v>0</v>
      </c>
      <c r="H75" s="157"/>
      <c r="I75" s="7">
        <f>K75-G75</f>
        <v>200000</v>
      </c>
      <c r="J75" s="111"/>
      <c r="K75" s="7">
        <v>200000</v>
      </c>
      <c r="L75" s="100"/>
      <c r="M75" s="7">
        <v>0</v>
      </c>
      <c r="N75" s="975"/>
      <c r="O75" s="1036">
        <f t="shared" ref="O75" si="16">M75-K75</f>
        <v>-200000</v>
      </c>
      <c r="P75" s="984">
        <v>200000</v>
      </c>
      <c r="Q75" s="1116">
        <f>O75-K75</f>
        <v>-400000</v>
      </c>
      <c r="R75" s="1011"/>
      <c r="S75" s="1011"/>
      <c r="T75" s="785"/>
      <c r="U75" s="785"/>
    </row>
    <row r="76" spans="1:21" s="8" customFormat="1">
      <c r="A76" s="101"/>
      <c r="B76" s="160" t="s">
        <v>601</v>
      </c>
      <c r="C76" s="102"/>
      <c r="D76" s="100"/>
      <c r="E76" s="7">
        <v>0</v>
      </c>
      <c r="F76" s="138"/>
      <c r="G76" s="105"/>
      <c r="H76" s="183"/>
      <c r="I76" s="105">
        <f>K76-G76</f>
        <v>0</v>
      </c>
      <c r="J76" s="139"/>
      <c r="K76" s="105">
        <v>0</v>
      </c>
      <c r="L76" s="104"/>
      <c r="M76" s="105">
        <v>0</v>
      </c>
      <c r="N76" s="973"/>
      <c r="O76" s="1036">
        <f t="shared" si="15"/>
        <v>0</v>
      </c>
      <c r="P76" s="984"/>
      <c r="Q76" s="1116">
        <f>O76-K76</f>
        <v>0</v>
      </c>
      <c r="R76" s="1011"/>
      <c r="S76" s="1011"/>
      <c r="T76" s="765"/>
      <c r="U76" s="765"/>
    </row>
    <row r="77" spans="1:21" ht="12.6" customHeight="1">
      <c r="A77" s="1325" t="s">
        <v>13</v>
      </c>
      <c r="B77" s="1326"/>
      <c r="C77" s="102"/>
      <c r="D77" s="109" t="s">
        <v>15</v>
      </c>
      <c r="E77" s="110">
        <f>SUM(E39:E76)</f>
        <v>5005571.76</v>
      </c>
      <c r="F77" s="109" t="s">
        <v>15</v>
      </c>
      <c r="G77" s="110">
        <f>SUM(G39:G76)</f>
        <v>1157695.01</v>
      </c>
      <c r="H77" s="109" t="s">
        <v>15</v>
      </c>
      <c r="I77" s="110">
        <f>SUM(I39:I76)</f>
        <v>9439304.9899999984</v>
      </c>
      <c r="J77" s="109" t="s">
        <v>15</v>
      </c>
      <c r="K77" s="110">
        <f>SUM(K39:K76)</f>
        <v>10597000</v>
      </c>
      <c r="L77" s="109" t="s">
        <v>15</v>
      </c>
      <c r="M77" s="110">
        <f>SUM(M39:M76)</f>
        <v>9183500</v>
      </c>
      <c r="N77" s="977" t="s">
        <v>15</v>
      </c>
      <c r="O77" s="1033">
        <f>SUM(O39:O76)</f>
        <v>-1413500</v>
      </c>
      <c r="P77" s="1033">
        <f>SUM(P39:P76)</f>
        <v>2225000</v>
      </c>
      <c r="Q77" s="1033">
        <f>O77-K77</f>
        <v>-12010500</v>
      </c>
    </row>
    <row r="78" spans="1:21" ht="12.6" customHeight="1">
      <c r="A78" s="121" t="s">
        <v>283</v>
      </c>
      <c r="B78" s="766"/>
      <c r="C78" s="102"/>
      <c r="D78" s="122"/>
      <c r="E78" s="123"/>
      <c r="F78" s="122"/>
      <c r="G78" s="123"/>
      <c r="H78" s="122"/>
      <c r="I78" s="123"/>
      <c r="J78" s="122"/>
      <c r="K78" s="123"/>
      <c r="L78" s="122"/>
      <c r="M78" s="123"/>
      <c r="N78" s="979"/>
      <c r="O78" s="1040"/>
      <c r="P78" s="1039"/>
    </row>
    <row r="79" spans="1:21" ht="12.6" customHeight="1">
      <c r="A79" s="124" t="s">
        <v>51</v>
      </c>
      <c r="B79" s="766"/>
      <c r="C79" s="102" t="s">
        <v>149</v>
      </c>
      <c r="D79" s="100"/>
      <c r="E79" s="7"/>
      <c r="F79" s="100"/>
      <c r="G79" s="7"/>
      <c r="H79" s="100"/>
      <c r="I79" s="7"/>
      <c r="J79" s="100"/>
      <c r="K79" s="7"/>
      <c r="L79" s="100"/>
      <c r="M79" s="7"/>
      <c r="N79" s="971"/>
      <c r="O79" s="1035"/>
      <c r="P79" s="984"/>
    </row>
    <row r="80" spans="1:21" ht="12.6" customHeight="1">
      <c r="A80" s="124" t="s">
        <v>332</v>
      </c>
      <c r="B80" s="766"/>
      <c r="C80" s="102"/>
      <c r="D80" s="100" t="s">
        <v>15</v>
      </c>
      <c r="E80" s="7">
        <v>0</v>
      </c>
      <c r="F80" s="100" t="s">
        <v>15</v>
      </c>
      <c r="G80" s="7">
        <v>0</v>
      </c>
      <c r="H80" s="100" t="s">
        <v>15</v>
      </c>
      <c r="I80" s="7">
        <f>K80-G80</f>
        <v>0</v>
      </c>
      <c r="J80" s="100" t="s">
        <v>15</v>
      </c>
      <c r="K80" s="7">
        <v>0</v>
      </c>
      <c r="L80" s="100" t="s">
        <v>15</v>
      </c>
      <c r="M80" s="7"/>
      <c r="N80" s="973" t="s">
        <v>15</v>
      </c>
      <c r="O80" s="1036">
        <v>0</v>
      </c>
      <c r="P80" s="984"/>
    </row>
    <row r="81" spans="1:16" ht="12.6" customHeight="1">
      <c r="A81" s="124" t="s">
        <v>1123</v>
      </c>
      <c r="B81" s="786"/>
      <c r="C81" s="102"/>
      <c r="D81" s="100"/>
      <c r="E81" s="7">
        <v>0</v>
      </c>
      <c r="F81" s="100"/>
      <c r="G81" s="7">
        <v>0</v>
      </c>
      <c r="H81" s="100"/>
      <c r="I81" s="7">
        <f t="shared" ref="I81" si="17">K81-G81</f>
        <v>0</v>
      </c>
      <c r="J81" s="100"/>
      <c r="K81" s="7">
        <v>0</v>
      </c>
      <c r="L81" s="100"/>
      <c r="M81" s="7"/>
      <c r="N81" s="975"/>
      <c r="O81" s="996">
        <v>0</v>
      </c>
      <c r="P81" s="984"/>
    </row>
    <row r="82" spans="1:16" ht="12.6" customHeight="1">
      <c r="A82" s="124" t="s">
        <v>1124</v>
      </c>
      <c r="B82" s="786"/>
      <c r="C82" s="102"/>
      <c r="D82" s="100"/>
      <c r="E82" s="7">
        <v>0</v>
      </c>
      <c r="F82" s="100"/>
      <c r="G82" s="7">
        <v>0</v>
      </c>
      <c r="H82" s="100"/>
      <c r="I82" s="7">
        <f t="shared" ref="I82:I83" si="18">K82-G82</f>
        <v>0</v>
      </c>
      <c r="J82" s="100"/>
      <c r="K82" s="7">
        <v>0</v>
      </c>
      <c r="L82" s="100"/>
      <c r="M82" s="7"/>
      <c r="N82" s="975"/>
      <c r="O82" s="996">
        <v>0</v>
      </c>
      <c r="P82" s="984"/>
    </row>
    <row r="83" spans="1:16" ht="12.6" customHeight="1">
      <c r="A83" s="124" t="s">
        <v>1125</v>
      </c>
      <c r="B83" s="786"/>
      <c r="C83" s="102"/>
      <c r="D83" s="100"/>
      <c r="E83" s="7">
        <v>0</v>
      </c>
      <c r="F83" s="100"/>
      <c r="G83" s="7">
        <v>0</v>
      </c>
      <c r="H83" s="100"/>
      <c r="I83" s="7">
        <f t="shared" si="18"/>
        <v>0</v>
      </c>
      <c r="J83" s="100"/>
      <c r="K83" s="7">
        <v>0</v>
      </c>
      <c r="L83" s="100"/>
      <c r="M83" s="7"/>
      <c r="N83" s="975"/>
      <c r="O83" s="996">
        <v>0</v>
      </c>
      <c r="P83" s="984"/>
    </row>
    <row r="84" spans="1:16" ht="12.6" customHeight="1">
      <c r="A84" s="124" t="s">
        <v>1126</v>
      </c>
      <c r="B84" s="786"/>
      <c r="C84" s="102"/>
      <c r="D84" s="100"/>
      <c r="E84" s="7">
        <v>0</v>
      </c>
      <c r="F84" s="100"/>
      <c r="G84" s="7">
        <v>0</v>
      </c>
      <c r="H84" s="100"/>
      <c r="I84" s="7">
        <f t="shared" ref="I84" si="19">K84-G84</f>
        <v>0</v>
      </c>
      <c r="J84" s="100"/>
      <c r="K84" s="7">
        <v>0</v>
      </c>
      <c r="L84" s="100"/>
      <c r="M84" s="7"/>
      <c r="N84" s="975"/>
      <c r="O84" s="996">
        <v>0</v>
      </c>
      <c r="P84" s="984"/>
    </row>
    <row r="85" spans="1:16" ht="12.6" customHeight="1">
      <c r="A85" s="124" t="s">
        <v>1127</v>
      </c>
      <c r="B85" s="786"/>
      <c r="C85" s="102"/>
      <c r="D85" s="100"/>
      <c r="E85" s="7">
        <v>0</v>
      </c>
      <c r="F85" s="100"/>
      <c r="G85" s="7">
        <v>0</v>
      </c>
      <c r="H85" s="100"/>
      <c r="I85" s="7">
        <f t="shared" ref="I85" si="20">K85-G85</f>
        <v>0</v>
      </c>
      <c r="J85" s="100"/>
      <c r="K85" s="7">
        <v>0</v>
      </c>
      <c r="L85" s="100"/>
      <c r="M85" s="7"/>
      <c r="N85" s="975"/>
      <c r="O85" s="996">
        <v>0</v>
      </c>
      <c r="P85" s="984"/>
    </row>
    <row r="86" spans="1:16" ht="12.6" customHeight="1">
      <c r="A86" s="124" t="s">
        <v>152</v>
      </c>
      <c r="B86" s="766"/>
      <c r="C86" s="102" t="s">
        <v>150</v>
      </c>
      <c r="D86" s="100"/>
      <c r="E86" s="7"/>
      <c r="F86" s="100"/>
      <c r="G86" s="7"/>
      <c r="H86" s="100"/>
      <c r="I86" s="7"/>
      <c r="J86" s="100"/>
      <c r="K86" s="7"/>
      <c r="L86" s="100"/>
      <c r="M86" s="7"/>
      <c r="N86" s="975"/>
      <c r="O86" s="996"/>
      <c r="P86" s="984"/>
    </row>
    <row r="87" spans="1:16" ht="12.6" customHeight="1">
      <c r="A87" s="124" t="s">
        <v>329</v>
      </c>
      <c r="B87" s="766"/>
      <c r="C87" s="102"/>
      <c r="D87" s="100"/>
      <c r="E87" s="7">
        <v>0</v>
      </c>
      <c r="F87" s="100"/>
      <c r="G87" s="7">
        <v>0</v>
      </c>
      <c r="H87" s="100"/>
      <c r="I87" s="7">
        <f t="shared" ref="I87:I102" si="21">K87-G87</f>
        <v>0</v>
      </c>
      <c r="J87" s="100"/>
      <c r="K87" s="7">
        <v>0</v>
      </c>
      <c r="L87" s="100"/>
      <c r="M87" s="7"/>
      <c r="N87" s="975"/>
      <c r="O87" s="996">
        <v>0</v>
      </c>
      <c r="P87" s="984"/>
    </row>
    <row r="88" spans="1:16" ht="12.6" customHeight="1">
      <c r="A88" s="124" t="s">
        <v>153</v>
      </c>
      <c r="B88" s="766"/>
      <c r="C88" s="102" t="s">
        <v>151</v>
      </c>
      <c r="D88" s="100"/>
      <c r="E88" s="7"/>
      <c r="F88" s="100"/>
      <c r="G88" s="7"/>
      <c r="H88" s="100"/>
      <c r="I88" s="7"/>
      <c r="J88" s="100"/>
      <c r="K88" s="7"/>
      <c r="L88" s="100"/>
      <c r="M88" s="7"/>
      <c r="N88" s="975"/>
      <c r="O88" s="996"/>
      <c r="P88" s="984"/>
    </row>
    <row r="89" spans="1:16" ht="12.6" customHeight="1">
      <c r="A89" s="124" t="s">
        <v>1221</v>
      </c>
      <c r="B89" s="766"/>
      <c r="C89" s="102"/>
      <c r="D89" s="100"/>
      <c r="E89" s="7">
        <v>0</v>
      </c>
      <c r="F89" s="100"/>
      <c r="G89" s="7">
        <v>0</v>
      </c>
      <c r="H89" s="100"/>
      <c r="I89" s="7">
        <f t="shared" si="21"/>
        <v>180000</v>
      </c>
      <c r="J89" s="100"/>
      <c r="K89" s="7">
        <v>180000</v>
      </c>
      <c r="L89" s="100"/>
      <c r="M89" s="7"/>
      <c r="N89" s="975"/>
      <c r="O89" s="996">
        <v>0</v>
      </c>
      <c r="P89" s="984"/>
    </row>
    <row r="90" spans="1:16" ht="12.6" customHeight="1">
      <c r="A90" s="124" t="s">
        <v>1222</v>
      </c>
      <c r="B90" s="766"/>
      <c r="C90" s="102"/>
      <c r="D90" s="100"/>
      <c r="E90" s="7">
        <v>0</v>
      </c>
      <c r="F90" s="100"/>
      <c r="G90" s="7">
        <v>0</v>
      </c>
      <c r="H90" s="100"/>
      <c r="I90" s="7">
        <f t="shared" si="21"/>
        <v>85000</v>
      </c>
      <c r="J90" s="100"/>
      <c r="K90" s="7">
        <v>85000</v>
      </c>
      <c r="L90" s="100"/>
      <c r="M90" s="7"/>
      <c r="N90" s="975"/>
      <c r="O90" s="996">
        <v>0</v>
      </c>
      <c r="P90" s="984"/>
    </row>
    <row r="91" spans="1:16" ht="12.6" customHeight="1">
      <c r="A91" s="124" t="s">
        <v>982</v>
      </c>
      <c r="B91" s="766"/>
      <c r="C91" s="102"/>
      <c r="D91" s="100"/>
      <c r="E91" s="7">
        <v>0</v>
      </c>
      <c r="F91" s="100"/>
      <c r="G91" s="7">
        <v>0</v>
      </c>
      <c r="H91" s="100"/>
      <c r="I91" s="7">
        <f t="shared" si="21"/>
        <v>0</v>
      </c>
      <c r="J91" s="100"/>
      <c r="K91" s="7">
        <v>0</v>
      </c>
      <c r="L91" s="100"/>
      <c r="M91" s="7"/>
      <c r="N91" s="975"/>
      <c r="O91" s="996">
        <v>0</v>
      </c>
      <c r="P91" s="984"/>
    </row>
    <row r="92" spans="1:16" ht="12.75" customHeight="1">
      <c r="A92" s="124" t="s">
        <v>885</v>
      </c>
      <c r="B92" s="766"/>
      <c r="C92" s="102"/>
      <c r="D92" s="100"/>
      <c r="E92" s="7">
        <v>0</v>
      </c>
      <c r="F92" s="100"/>
      <c r="G92" s="7">
        <v>0</v>
      </c>
      <c r="H92" s="100"/>
      <c r="I92" s="7">
        <f t="shared" si="21"/>
        <v>0</v>
      </c>
      <c r="J92" s="100"/>
      <c r="K92" s="7">
        <v>0</v>
      </c>
      <c r="L92" s="100"/>
      <c r="M92" s="7"/>
      <c r="N92" s="975"/>
      <c r="O92" s="996">
        <v>0</v>
      </c>
      <c r="P92" s="984"/>
    </row>
    <row r="93" spans="1:16" ht="12.6" customHeight="1">
      <c r="A93" s="124" t="s">
        <v>1128</v>
      </c>
      <c r="B93" s="818"/>
      <c r="C93" s="102" t="s">
        <v>341</v>
      </c>
      <c r="D93" s="122"/>
      <c r="E93" s="7"/>
      <c r="F93" s="122"/>
      <c r="G93" s="7"/>
      <c r="H93" s="122"/>
      <c r="I93" s="7"/>
      <c r="J93" s="122"/>
      <c r="K93" s="7"/>
      <c r="L93" s="122"/>
      <c r="M93" s="7"/>
      <c r="N93" s="977"/>
      <c r="O93" s="996"/>
      <c r="P93" s="984"/>
    </row>
    <row r="94" spans="1:16" ht="12.6" customHeight="1">
      <c r="A94" s="124" t="s">
        <v>1129</v>
      </c>
      <c r="B94" s="818"/>
      <c r="C94" s="102"/>
      <c r="D94" s="122"/>
      <c r="E94" s="7">
        <v>0</v>
      </c>
      <c r="F94" s="122"/>
      <c r="G94" s="7">
        <v>0</v>
      </c>
      <c r="H94" s="122"/>
      <c r="I94" s="7">
        <f t="shared" ref="I94" si="22">K94-G94</f>
        <v>0</v>
      </c>
      <c r="J94" s="122"/>
      <c r="K94" s="7">
        <v>0</v>
      </c>
      <c r="L94" s="122"/>
      <c r="M94" s="7"/>
      <c r="N94" s="977"/>
      <c r="O94" s="996">
        <v>0</v>
      </c>
      <c r="P94" s="984"/>
    </row>
    <row r="95" spans="1:16" ht="12.6" customHeight="1">
      <c r="A95" s="124" t="s">
        <v>1195</v>
      </c>
      <c r="B95" s="818"/>
      <c r="C95" s="102"/>
      <c r="D95" s="122"/>
      <c r="E95" s="7"/>
      <c r="F95" s="122"/>
      <c r="G95" s="7">
        <v>0</v>
      </c>
      <c r="H95" s="122"/>
      <c r="I95" s="7">
        <f t="shared" si="21"/>
        <v>400000</v>
      </c>
      <c r="J95" s="122"/>
      <c r="K95" s="7">
        <v>400000</v>
      </c>
      <c r="L95" s="122"/>
      <c r="M95" s="7">
        <v>0</v>
      </c>
      <c r="N95" s="977"/>
      <c r="O95" s="996"/>
      <c r="P95" s="984"/>
    </row>
    <row r="96" spans="1:16" ht="12.6" customHeight="1">
      <c r="A96" s="124" t="s">
        <v>1193</v>
      </c>
      <c r="B96" s="786"/>
      <c r="C96" s="850" t="s">
        <v>742</v>
      </c>
      <c r="D96" s="122"/>
      <c r="E96" s="7"/>
      <c r="F96" s="122"/>
      <c r="G96" s="7"/>
      <c r="H96" s="122"/>
      <c r="I96" s="7"/>
      <c r="J96" s="122"/>
      <c r="K96" s="7"/>
      <c r="L96" s="122"/>
      <c r="M96" s="7"/>
      <c r="N96" s="977"/>
      <c r="O96" s="996"/>
      <c r="P96" s="984"/>
    </row>
    <row r="97" spans="1:23" ht="12.6" customHeight="1">
      <c r="A97" s="124" t="s">
        <v>1194</v>
      </c>
      <c r="B97" s="786"/>
      <c r="C97" s="102"/>
      <c r="D97" s="122"/>
      <c r="E97" s="7">
        <v>0</v>
      </c>
      <c r="F97" s="122"/>
      <c r="G97" s="7">
        <v>0</v>
      </c>
      <c r="H97" s="122"/>
      <c r="I97" s="7">
        <f t="shared" ref="I97" si="23">K97-G97</f>
        <v>3000000</v>
      </c>
      <c r="J97" s="122"/>
      <c r="K97" s="7">
        <v>3000000</v>
      </c>
      <c r="L97" s="122"/>
      <c r="M97" s="7">
        <v>0</v>
      </c>
      <c r="N97" s="977"/>
      <c r="O97" s="996">
        <v>0</v>
      </c>
      <c r="P97" s="984"/>
    </row>
    <row r="98" spans="1:23" ht="12.6" customHeight="1">
      <c r="A98" s="124" t="s">
        <v>1130</v>
      </c>
      <c r="B98" s="786"/>
      <c r="C98" s="102" t="s">
        <v>1132</v>
      </c>
      <c r="D98" s="122"/>
      <c r="E98" s="7"/>
      <c r="F98" s="122"/>
      <c r="G98" s="7"/>
      <c r="H98" s="122"/>
      <c r="I98" s="7"/>
      <c r="J98" s="122"/>
      <c r="K98" s="7"/>
      <c r="L98" s="122"/>
      <c r="M98" s="7"/>
      <c r="N98" s="977"/>
      <c r="O98" s="996"/>
      <c r="P98" s="984"/>
    </row>
    <row r="99" spans="1:23" ht="12.6" customHeight="1">
      <c r="A99" s="124" t="s">
        <v>1131</v>
      </c>
      <c r="B99" s="786"/>
      <c r="C99" s="102"/>
      <c r="D99" s="122"/>
      <c r="E99" s="7">
        <v>0</v>
      </c>
      <c r="F99" s="122"/>
      <c r="G99" s="7">
        <v>0</v>
      </c>
      <c r="H99" s="122"/>
      <c r="I99" s="7">
        <f t="shared" ref="I99" si="24">K99-G99</f>
        <v>0</v>
      </c>
      <c r="J99" s="122"/>
      <c r="K99" s="7">
        <v>0</v>
      </c>
      <c r="L99" s="122"/>
      <c r="M99" s="7"/>
      <c r="N99" s="977"/>
      <c r="O99" s="996">
        <v>0</v>
      </c>
      <c r="P99" s="984"/>
    </row>
    <row r="100" spans="1:23" ht="12.6" customHeight="1">
      <c r="A100" s="124" t="s">
        <v>50</v>
      </c>
      <c r="B100" s="766"/>
      <c r="C100" s="102" t="s">
        <v>156</v>
      </c>
      <c r="D100" s="122"/>
      <c r="E100" s="7"/>
      <c r="F100" s="122"/>
      <c r="G100" s="7"/>
      <c r="H100" s="122"/>
      <c r="I100" s="7"/>
      <c r="J100" s="122"/>
      <c r="K100" s="7"/>
      <c r="L100" s="122"/>
      <c r="M100" s="7"/>
      <c r="N100" s="977"/>
      <c r="O100" s="996"/>
      <c r="P100" s="984"/>
    </row>
    <row r="101" spans="1:23" ht="12.6" customHeight="1">
      <c r="A101" s="124" t="s">
        <v>1218</v>
      </c>
      <c r="B101" s="766"/>
      <c r="C101" s="102"/>
      <c r="D101" s="122"/>
      <c r="E101" s="7">
        <v>0</v>
      </c>
      <c r="F101" s="122"/>
      <c r="G101" s="7">
        <v>0</v>
      </c>
      <c r="H101" s="122"/>
      <c r="I101" s="7">
        <f t="shared" ref="I101" si="25">K101-G101</f>
        <v>160000</v>
      </c>
      <c r="J101" s="122"/>
      <c r="K101" s="7">
        <v>160000</v>
      </c>
      <c r="L101" s="122"/>
      <c r="M101" s="7"/>
      <c r="N101" s="977"/>
      <c r="O101" s="996">
        <v>0</v>
      </c>
      <c r="P101" s="984"/>
    </row>
    <row r="102" spans="1:23" ht="12.6" customHeight="1">
      <c r="A102" s="124" t="s">
        <v>1220</v>
      </c>
      <c r="B102" s="766"/>
      <c r="C102" s="102"/>
      <c r="D102" s="122"/>
      <c r="E102" s="7">
        <v>0</v>
      </c>
      <c r="F102" s="122"/>
      <c r="G102" s="105">
        <v>0</v>
      </c>
      <c r="H102" s="125"/>
      <c r="I102" s="105">
        <f t="shared" si="21"/>
        <v>650000</v>
      </c>
      <c r="J102" s="125"/>
      <c r="K102" s="105">
        <v>650000</v>
      </c>
      <c r="L102" s="125"/>
      <c r="M102" s="105"/>
      <c r="N102" s="977"/>
      <c r="O102" s="996">
        <v>0</v>
      </c>
      <c r="P102" s="984"/>
    </row>
    <row r="103" spans="1:23" ht="12.6" customHeight="1">
      <c r="A103" s="1325" t="s">
        <v>16</v>
      </c>
      <c r="B103" s="1326"/>
      <c r="C103" s="102"/>
      <c r="D103" s="109" t="s">
        <v>15</v>
      </c>
      <c r="E103" s="110">
        <f>SUM(E80:E102)</f>
        <v>0</v>
      </c>
      <c r="F103" s="109" t="s">
        <v>15</v>
      </c>
      <c r="G103" s="110">
        <f>SUM(G86:G102)</f>
        <v>0</v>
      </c>
      <c r="H103" s="109" t="s">
        <v>15</v>
      </c>
      <c r="I103" s="110">
        <f>SUM(I80:I102)</f>
        <v>4475000</v>
      </c>
      <c r="J103" s="109" t="s">
        <v>15</v>
      </c>
      <c r="K103" s="110">
        <f>SUM(K80:K102)</f>
        <v>4475000</v>
      </c>
      <c r="L103" s="109" t="s">
        <v>15</v>
      </c>
      <c r="M103" s="110">
        <f>SUM(M80:M102)</f>
        <v>0</v>
      </c>
      <c r="N103" s="977" t="s">
        <v>15</v>
      </c>
      <c r="O103" s="1033">
        <f>M103-K103</f>
        <v>-4475000</v>
      </c>
      <c r="P103" s="1039"/>
      <c r="Q103" s="963">
        <f>O103-K103</f>
        <v>-8950000</v>
      </c>
    </row>
    <row r="104" spans="1:23" ht="8.25" customHeight="1">
      <c r="A104" s="101"/>
      <c r="B104" s="98"/>
      <c r="C104" s="102"/>
      <c r="D104" s="100"/>
      <c r="E104" s="7"/>
      <c r="F104" s="100"/>
      <c r="G104" s="7"/>
      <c r="H104" s="100"/>
      <c r="I104" s="7"/>
      <c r="J104" s="100"/>
      <c r="K104" s="7"/>
      <c r="L104" s="100"/>
      <c r="M104" s="7"/>
      <c r="N104" s="971"/>
      <c r="O104" s="1035"/>
      <c r="P104" s="984"/>
    </row>
    <row r="105" spans="1:23" ht="12.6" customHeight="1">
      <c r="A105" s="1336" t="s">
        <v>277</v>
      </c>
      <c r="B105" s="1337"/>
      <c r="C105" s="113"/>
      <c r="D105" s="125" t="s">
        <v>15</v>
      </c>
      <c r="E105" s="126">
        <f>E37+E77+E103</f>
        <v>9227042.6499999985</v>
      </c>
      <c r="F105" s="125" t="s">
        <v>15</v>
      </c>
      <c r="G105" s="126">
        <f>G103+G77+G37</f>
        <v>3543630.84</v>
      </c>
      <c r="H105" s="125" t="s">
        <v>15</v>
      </c>
      <c r="I105" s="126">
        <f>I103+I77+I37</f>
        <v>17898482.16</v>
      </c>
      <c r="J105" s="125" t="s">
        <v>15</v>
      </c>
      <c r="K105" s="126">
        <f>K103+K77+K37</f>
        <v>21442113</v>
      </c>
      <c r="L105" s="125" t="s">
        <v>15</v>
      </c>
      <c r="M105" s="126">
        <f>M103+M77+M37</f>
        <v>16558004</v>
      </c>
      <c r="N105" s="981"/>
      <c r="O105" s="1044"/>
      <c r="P105" s="1044"/>
      <c r="Q105" s="1044">
        <f>Q103+Q77+Q37</f>
        <v>-20960500</v>
      </c>
    </row>
    <row r="106" spans="1:23" ht="14.25" customHeight="1">
      <c r="A106" s="62" t="s">
        <v>1623</v>
      </c>
      <c r="B106" s="769"/>
      <c r="C106" s="768"/>
      <c r="D106" s="149"/>
      <c r="E106" s="175"/>
      <c r="F106" s="149"/>
      <c r="G106" s="175"/>
      <c r="H106" s="149"/>
      <c r="I106" s="175"/>
      <c r="J106" s="149"/>
      <c r="K106" s="175"/>
      <c r="L106" s="149"/>
      <c r="M106" s="175"/>
      <c r="N106" s="1002"/>
      <c r="O106" s="1039"/>
      <c r="P106" s="1039"/>
      <c r="Q106" s="1039"/>
    </row>
    <row r="107" spans="1:23" ht="6.75" customHeight="1">
      <c r="A107" s="769"/>
      <c r="B107" s="769"/>
      <c r="C107" s="768"/>
      <c r="D107" s="149"/>
      <c r="E107" s="175"/>
      <c r="F107" s="149"/>
      <c r="G107" s="175"/>
      <c r="H107" s="149"/>
      <c r="I107" s="175"/>
      <c r="J107" s="149"/>
      <c r="K107" s="175"/>
      <c r="L107" s="149"/>
      <c r="M107" s="175"/>
      <c r="N107" s="1002"/>
      <c r="O107" s="1039"/>
      <c r="P107" s="1039"/>
      <c r="Q107" s="1039"/>
    </row>
    <row r="108" spans="1:23" s="127" customFormat="1">
      <c r="A108" s="127" t="s">
        <v>187</v>
      </c>
      <c r="C108" s="128" t="s">
        <v>188</v>
      </c>
      <c r="F108" s="129"/>
      <c r="I108" s="127" t="s">
        <v>190</v>
      </c>
      <c r="L108" s="129"/>
      <c r="N108" s="964"/>
      <c r="O108" s="985"/>
      <c r="P108" s="985"/>
      <c r="Q108" s="964"/>
      <c r="R108" s="985"/>
      <c r="S108" s="1009"/>
      <c r="T108" s="130"/>
      <c r="U108" s="130"/>
      <c r="V108" s="130"/>
      <c r="W108" s="130"/>
    </row>
    <row r="110" spans="1:23" ht="21.75" customHeight="1"/>
    <row r="111" spans="1:23" s="89" customFormat="1">
      <c r="A111" s="1323" t="s">
        <v>1618</v>
      </c>
      <c r="B111" s="1323"/>
      <c r="C111" s="1323" t="s">
        <v>1584</v>
      </c>
      <c r="D111" s="1323"/>
      <c r="E111" s="1323"/>
      <c r="F111" s="1323"/>
      <c r="G111" s="1323"/>
      <c r="H111" s="131"/>
      <c r="I111" s="1323" t="str">
        <f>mswdo!I82</f>
        <v>(Sgd.) ATTY. JOSE JOEL P. DOROMAL</v>
      </c>
      <c r="J111" s="1323"/>
      <c r="K111" s="1323"/>
      <c r="L111" s="1323"/>
      <c r="M111" s="1323"/>
      <c r="N111" s="986"/>
      <c r="O111" s="986"/>
      <c r="P111" s="967"/>
      <c r="Q111" s="965"/>
      <c r="R111" s="965"/>
      <c r="S111" s="965"/>
    </row>
    <row r="112" spans="1:23" ht="11.25" customHeight="1">
      <c r="A112" s="1322" t="s">
        <v>893</v>
      </c>
      <c r="B112" s="1322"/>
      <c r="C112" s="1322" t="s">
        <v>198</v>
      </c>
      <c r="D112" s="1322"/>
      <c r="E112" s="1322"/>
      <c r="F112" s="1322"/>
      <c r="G112" s="1322"/>
      <c r="I112" s="1322" t="s">
        <v>192</v>
      </c>
      <c r="J112" s="1322"/>
      <c r="K112" s="1322"/>
      <c r="L112" s="1322"/>
      <c r="M112" s="1322"/>
      <c r="N112" s="987"/>
      <c r="O112" s="987"/>
      <c r="P112" s="962"/>
    </row>
    <row r="154" spans="1:14" s="961" customFormat="1">
      <c r="D154" s="966"/>
      <c r="F154" s="966"/>
      <c r="H154" s="966"/>
      <c r="J154" s="966"/>
      <c r="L154" s="966"/>
      <c r="N154" s="966"/>
    </row>
    <row r="155" spans="1:14" s="961" customFormat="1">
      <c r="D155" s="966"/>
      <c r="F155" s="966"/>
      <c r="H155" s="966"/>
      <c r="J155" s="966"/>
      <c r="L155" s="966"/>
      <c r="N155" s="966"/>
    </row>
    <row r="156" spans="1:14" s="961" customFormat="1">
      <c r="D156" s="966"/>
      <c r="F156" s="966"/>
      <c r="H156" s="966"/>
      <c r="J156" s="966"/>
      <c r="L156" s="966"/>
      <c r="N156" s="966"/>
    </row>
    <row r="157" spans="1:14" s="961" customFormat="1">
      <c r="A157" s="1374" t="s">
        <v>226</v>
      </c>
      <c r="B157" s="1375"/>
      <c r="C157" s="1375"/>
      <c r="D157" s="1375"/>
      <c r="E157" s="1376"/>
      <c r="F157" s="966"/>
      <c r="H157" s="966"/>
      <c r="J157" s="966"/>
      <c r="L157" s="966"/>
      <c r="N157" s="966"/>
    </row>
    <row r="158" spans="1:14" s="961" customFormat="1">
      <c r="A158" s="1108"/>
      <c r="B158" s="1098"/>
      <c r="C158" s="1098"/>
      <c r="D158" s="1038"/>
      <c r="E158" s="1099"/>
      <c r="F158" s="966"/>
      <c r="H158" s="966"/>
      <c r="J158" s="966"/>
      <c r="L158" s="966"/>
      <c r="N158" s="966"/>
    </row>
    <row r="159" spans="1:14" s="961" customFormat="1">
      <c r="A159" s="1372" t="s">
        <v>60</v>
      </c>
      <c r="B159" s="1373"/>
      <c r="C159" s="1005"/>
      <c r="D159" s="983"/>
      <c r="E159" s="1100"/>
      <c r="F159" s="966"/>
      <c r="H159" s="966"/>
      <c r="J159" s="966"/>
      <c r="L159" s="966"/>
      <c r="N159" s="966"/>
    </row>
    <row r="160" spans="1:14" s="961" customFormat="1">
      <c r="A160" s="1101" t="s">
        <v>233</v>
      </c>
      <c r="B160" s="1005"/>
      <c r="C160" s="1005"/>
      <c r="D160" s="983"/>
      <c r="E160" s="1102" t="s">
        <v>228</v>
      </c>
      <c r="F160" s="966"/>
      <c r="H160" s="966"/>
      <c r="J160" s="966"/>
      <c r="L160" s="966"/>
      <c r="N160" s="966"/>
    </row>
    <row r="161" spans="1:23" s="961" customFormat="1">
      <c r="A161" s="1101"/>
      <c r="B161" s="1005"/>
      <c r="C161" s="1005"/>
      <c r="D161" s="983"/>
      <c r="E161" s="1100"/>
      <c r="F161" s="966"/>
      <c r="H161" s="966"/>
      <c r="J161" s="966"/>
      <c r="L161" s="966"/>
      <c r="N161" s="966"/>
    </row>
    <row r="162" spans="1:23" s="961" customFormat="1">
      <c r="A162" s="1068" t="s">
        <v>61</v>
      </c>
      <c r="B162" s="1005"/>
      <c r="C162" s="1005"/>
      <c r="D162" s="983" t="s">
        <v>15</v>
      </c>
      <c r="E162" s="1035">
        <v>2460000</v>
      </c>
      <c r="F162" s="966"/>
      <c r="H162" s="966"/>
      <c r="J162" s="966"/>
      <c r="L162" s="966"/>
      <c r="N162" s="966"/>
    </row>
    <row r="163" spans="1:23" s="961" customFormat="1">
      <c r="A163" s="1068" t="s">
        <v>101</v>
      </c>
      <c r="B163" s="1005"/>
      <c r="C163" s="1005"/>
      <c r="D163" s="983"/>
      <c r="E163" s="1035">
        <v>350000</v>
      </c>
      <c r="F163" s="966"/>
      <c r="H163" s="966"/>
      <c r="J163" s="966"/>
      <c r="L163" s="966"/>
      <c r="N163" s="966"/>
    </row>
    <row r="164" spans="1:23" s="961" customFormat="1">
      <c r="A164" s="1068" t="s">
        <v>102</v>
      </c>
      <c r="B164" s="1005"/>
      <c r="C164" s="1005"/>
      <c r="D164" s="983"/>
      <c r="E164" s="1035">
        <v>125000</v>
      </c>
      <c r="F164" s="966"/>
      <c r="H164" s="966"/>
      <c r="J164" s="966"/>
      <c r="L164" s="966"/>
      <c r="N164" s="966"/>
    </row>
    <row r="165" spans="1:23" s="961" customFormat="1">
      <c r="A165" s="1068" t="s">
        <v>103</v>
      </c>
      <c r="B165" s="1005"/>
      <c r="C165" s="1005"/>
      <c r="D165" s="983"/>
      <c r="E165" s="1035">
        <v>75000</v>
      </c>
      <c r="F165" s="966"/>
      <c r="H165" s="966"/>
      <c r="J165" s="966"/>
      <c r="L165" s="966"/>
      <c r="N165" s="966"/>
    </row>
    <row r="166" spans="1:23" s="961" customFormat="1">
      <c r="A166" s="1068" t="s">
        <v>104</v>
      </c>
      <c r="B166" s="1005"/>
      <c r="C166" s="1005"/>
      <c r="D166" s="983"/>
      <c r="E166" s="1035"/>
      <c r="F166" s="966"/>
      <c r="H166" s="966"/>
      <c r="J166" s="966"/>
      <c r="L166" s="966"/>
      <c r="N166" s="966"/>
    </row>
    <row r="167" spans="1:23" s="961" customFormat="1">
      <c r="A167" s="1068" t="s">
        <v>105</v>
      </c>
      <c r="B167" s="1005"/>
      <c r="C167" s="1005"/>
      <c r="D167" s="983"/>
      <c r="E167" s="1035">
        <v>125000</v>
      </c>
      <c r="F167" s="966"/>
      <c r="H167" s="966" t="s">
        <v>11</v>
      </c>
      <c r="J167" s="966"/>
      <c r="L167" s="966"/>
      <c r="N167" s="966"/>
    </row>
    <row r="168" spans="1:23" s="961" customFormat="1">
      <c r="A168" s="1068" t="s">
        <v>236</v>
      </c>
      <c r="B168" s="1005"/>
      <c r="C168" s="1005"/>
      <c r="D168" s="983"/>
      <c r="E168" s="1035">
        <v>200000</v>
      </c>
      <c r="F168" s="966"/>
      <c r="H168" s="966"/>
      <c r="J168" s="966"/>
      <c r="L168" s="966"/>
      <c r="N168" s="966"/>
    </row>
    <row r="169" spans="1:23" s="966" customFormat="1" ht="15.75">
      <c r="A169" s="1068" t="s">
        <v>76</v>
      </c>
      <c r="B169" s="1005"/>
      <c r="C169" s="1005"/>
      <c r="D169" s="983"/>
      <c r="E169" s="1103">
        <v>40000</v>
      </c>
      <c r="G169" s="961"/>
      <c r="I169" s="961"/>
      <c r="K169" s="961"/>
      <c r="M169" s="961"/>
      <c r="O169" s="961"/>
      <c r="P169" s="961"/>
      <c r="Q169" s="961"/>
      <c r="R169" s="961"/>
      <c r="S169" s="961"/>
      <c r="T169" s="961"/>
      <c r="U169" s="961"/>
      <c r="V169" s="961"/>
      <c r="W169" s="961"/>
    </row>
    <row r="170" spans="1:23" s="966" customFormat="1">
      <c r="A170" s="1370" t="s">
        <v>64</v>
      </c>
      <c r="B170" s="1371"/>
      <c r="C170" s="1005"/>
      <c r="D170" s="983" t="s">
        <v>15</v>
      </c>
      <c r="E170" s="1035">
        <f>SUM(E162:E169)</f>
        <v>3375000</v>
      </c>
      <c r="G170" s="961"/>
      <c r="I170" s="961"/>
      <c r="K170" s="961"/>
      <c r="M170" s="961"/>
      <c r="O170" s="961"/>
      <c r="P170" s="961"/>
      <c r="Q170" s="961"/>
      <c r="R170" s="961"/>
      <c r="S170" s="961"/>
      <c r="T170" s="961"/>
      <c r="U170" s="961"/>
      <c r="V170" s="961"/>
      <c r="W170" s="961"/>
    </row>
    <row r="171" spans="1:23" s="966" customFormat="1">
      <c r="A171" s="1104"/>
      <c r="B171" s="1105"/>
      <c r="C171" s="1105"/>
      <c r="D171" s="1106"/>
      <c r="E171" s="1107"/>
      <c r="G171" s="961"/>
      <c r="I171" s="961"/>
      <c r="K171" s="961"/>
      <c r="M171" s="961"/>
      <c r="O171" s="961"/>
      <c r="P171" s="961"/>
      <c r="Q171" s="961"/>
      <c r="R171" s="961"/>
      <c r="S171" s="961"/>
      <c r="T171" s="961"/>
      <c r="U171" s="961"/>
      <c r="V171" s="961"/>
      <c r="W171" s="961"/>
    </row>
    <row r="172" spans="1:23" s="961" customFormat="1">
      <c r="D172" s="966"/>
      <c r="F172" s="966"/>
      <c r="H172" s="966"/>
      <c r="J172" s="966"/>
      <c r="L172" s="966"/>
      <c r="N172" s="966"/>
    </row>
    <row r="173" spans="1:23" s="966" customFormat="1">
      <c r="A173" s="1374" t="s">
        <v>226</v>
      </c>
      <c r="B173" s="1375"/>
      <c r="C173" s="1375"/>
      <c r="D173" s="1375"/>
      <c r="E173" s="1376"/>
      <c r="G173" s="961"/>
      <c r="I173" s="961"/>
      <c r="K173" s="961"/>
      <c r="M173" s="961"/>
      <c r="O173" s="961"/>
      <c r="P173" s="961"/>
      <c r="Q173" s="961"/>
      <c r="R173" s="961"/>
      <c r="S173" s="961"/>
      <c r="T173" s="961"/>
      <c r="U173" s="961"/>
      <c r="V173" s="961"/>
      <c r="W173" s="961"/>
    </row>
    <row r="174" spans="1:23" s="966" customFormat="1">
      <c r="A174" s="1108"/>
      <c r="B174" s="1098"/>
      <c r="C174" s="1098"/>
      <c r="D174" s="1038"/>
      <c r="E174" s="1099"/>
      <c r="G174" s="961"/>
      <c r="I174" s="961"/>
      <c r="K174" s="961"/>
      <c r="M174" s="961"/>
      <c r="O174" s="961"/>
      <c r="P174" s="961"/>
      <c r="Q174" s="961"/>
      <c r="R174" s="961"/>
      <c r="S174" s="961"/>
      <c r="T174" s="961"/>
      <c r="U174" s="961"/>
      <c r="V174" s="961"/>
      <c r="W174" s="961"/>
    </row>
    <row r="175" spans="1:23" s="966" customFormat="1">
      <c r="A175" s="1372" t="s">
        <v>60</v>
      </c>
      <c r="B175" s="1373"/>
      <c r="C175" s="1005"/>
      <c r="D175" s="983"/>
      <c r="E175" s="1100"/>
      <c r="G175" s="961"/>
      <c r="I175" s="961"/>
      <c r="K175" s="961"/>
      <c r="M175" s="961"/>
      <c r="O175" s="961"/>
      <c r="P175" s="961"/>
      <c r="Q175" s="961"/>
      <c r="R175" s="961"/>
      <c r="S175" s="961"/>
      <c r="T175" s="961"/>
      <c r="U175" s="961"/>
      <c r="V175" s="961"/>
      <c r="W175" s="961"/>
    </row>
    <row r="176" spans="1:23" s="966" customFormat="1">
      <c r="A176" s="1101" t="s">
        <v>233</v>
      </c>
      <c r="B176" s="1005"/>
      <c r="C176" s="1005"/>
      <c r="D176" s="983"/>
      <c r="E176" s="1102" t="s">
        <v>300</v>
      </c>
      <c r="G176" s="961"/>
      <c r="I176" s="961"/>
      <c r="K176" s="961"/>
      <c r="M176" s="961"/>
      <c r="O176" s="961"/>
      <c r="P176" s="961"/>
      <c r="Q176" s="961"/>
      <c r="R176" s="961"/>
      <c r="S176" s="961"/>
      <c r="T176" s="961"/>
      <c r="U176" s="961"/>
      <c r="V176" s="961"/>
      <c r="W176" s="961"/>
    </row>
    <row r="177" spans="1:23" s="966" customFormat="1">
      <c r="A177" s="1101"/>
      <c r="B177" s="1005"/>
      <c r="C177" s="1005"/>
      <c r="D177" s="983"/>
      <c r="E177" s="1100"/>
      <c r="G177" s="961"/>
      <c r="I177" s="961"/>
      <c r="K177" s="961"/>
      <c r="M177" s="961"/>
      <c r="O177" s="961"/>
      <c r="P177" s="961"/>
      <c r="Q177" s="961"/>
      <c r="R177" s="961"/>
      <c r="S177" s="961"/>
      <c r="T177" s="961"/>
      <c r="U177" s="961"/>
      <c r="V177" s="961"/>
      <c r="W177" s="961"/>
    </row>
    <row r="178" spans="1:23" s="966" customFormat="1">
      <c r="A178" s="1068" t="s">
        <v>61</v>
      </c>
      <c r="B178" s="1005"/>
      <c r="C178" s="1005"/>
      <c r="D178" s="983" t="s">
        <v>15</v>
      </c>
      <c r="E178" s="1035">
        <v>2320000</v>
      </c>
      <c r="G178" s="961"/>
      <c r="I178" s="961"/>
      <c r="K178" s="961"/>
      <c r="M178" s="961"/>
      <c r="O178" s="961"/>
      <c r="P178" s="961"/>
      <c r="Q178" s="961"/>
      <c r="R178" s="961"/>
      <c r="S178" s="961"/>
      <c r="T178" s="961"/>
      <c r="U178" s="961"/>
      <c r="V178" s="961"/>
      <c r="W178" s="961"/>
    </row>
    <row r="179" spans="1:23" s="966" customFormat="1">
      <c r="A179" s="1068" t="s">
        <v>101</v>
      </c>
      <c r="B179" s="1005"/>
      <c r="C179" s="1005"/>
      <c r="D179" s="983"/>
      <c r="E179" s="1035">
        <v>350000</v>
      </c>
      <c r="G179" s="961"/>
      <c r="I179" s="961"/>
      <c r="K179" s="961"/>
      <c r="M179" s="961"/>
      <c r="O179" s="961"/>
      <c r="P179" s="961"/>
      <c r="Q179" s="961"/>
      <c r="R179" s="961"/>
      <c r="S179" s="961"/>
      <c r="T179" s="961"/>
      <c r="U179" s="961"/>
      <c r="V179" s="961"/>
      <c r="W179" s="961"/>
    </row>
    <row r="180" spans="1:23" s="966" customFormat="1">
      <c r="A180" s="1068" t="s">
        <v>102</v>
      </c>
      <c r="B180" s="1005"/>
      <c r="C180" s="1005"/>
      <c r="D180" s="983"/>
      <c r="E180" s="1035">
        <v>125000</v>
      </c>
      <c r="G180" s="961"/>
      <c r="I180" s="961"/>
      <c r="K180" s="961"/>
      <c r="M180" s="961"/>
      <c r="O180" s="961"/>
      <c r="P180" s="961"/>
      <c r="Q180" s="961"/>
      <c r="R180" s="961"/>
      <c r="S180" s="961"/>
      <c r="T180" s="961"/>
      <c r="U180" s="961"/>
      <c r="V180" s="961"/>
      <c r="W180" s="961"/>
    </row>
    <row r="181" spans="1:23" s="966" customFormat="1">
      <c r="A181" s="1068" t="s">
        <v>103</v>
      </c>
      <c r="B181" s="1005"/>
      <c r="C181" s="1005"/>
      <c r="D181" s="983"/>
      <c r="E181" s="1035">
        <v>75000</v>
      </c>
      <c r="G181" s="961"/>
      <c r="I181" s="961"/>
      <c r="K181" s="961"/>
      <c r="M181" s="961"/>
      <c r="O181" s="961"/>
      <c r="P181" s="961"/>
      <c r="Q181" s="961"/>
      <c r="R181" s="961"/>
      <c r="S181" s="961"/>
      <c r="T181" s="961"/>
      <c r="U181" s="961"/>
      <c r="V181" s="961"/>
      <c r="W181" s="961"/>
    </row>
    <row r="182" spans="1:23" s="966" customFormat="1">
      <c r="A182" s="1068" t="s">
        <v>104</v>
      </c>
      <c r="B182" s="1005"/>
      <c r="C182" s="1005"/>
      <c r="D182" s="983"/>
      <c r="E182" s="1035"/>
      <c r="G182" s="961"/>
      <c r="I182" s="961"/>
      <c r="K182" s="961"/>
      <c r="M182" s="961"/>
      <c r="O182" s="961"/>
      <c r="P182" s="961"/>
      <c r="Q182" s="961"/>
      <c r="R182" s="961"/>
      <c r="S182" s="961"/>
      <c r="T182" s="961"/>
      <c r="U182" s="961"/>
      <c r="V182" s="961"/>
      <c r="W182" s="961"/>
    </row>
    <row r="183" spans="1:23" s="966" customFormat="1">
      <c r="A183" s="1068" t="s">
        <v>105</v>
      </c>
      <c r="B183" s="1005"/>
      <c r="C183" s="1005"/>
      <c r="D183" s="983"/>
      <c r="E183" s="1035">
        <v>125000</v>
      </c>
      <c r="G183" s="961"/>
      <c r="I183" s="961"/>
      <c r="K183" s="961"/>
      <c r="M183" s="961"/>
      <c r="O183" s="961"/>
      <c r="P183" s="961"/>
      <c r="Q183" s="961"/>
      <c r="R183" s="961"/>
      <c r="S183" s="961"/>
      <c r="T183" s="961"/>
      <c r="U183" s="961"/>
      <c r="V183" s="961"/>
      <c r="W183" s="961"/>
    </row>
    <row r="184" spans="1:23" s="966" customFormat="1">
      <c r="A184" s="1068" t="s">
        <v>236</v>
      </c>
      <c r="B184" s="1005"/>
      <c r="C184" s="1005"/>
      <c r="D184" s="983"/>
      <c r="E184" s="1035">
        <v>200000</v>
      </c>
      <c r="G184" s="961"/>
      <c r="I184" s="961"/>
      <c r="K184" s="961"/>
      <c r="M184" s="961"/>
      <c r="O184" s="961"/>
      <c r="P184" s="961"/>
      <c r="Q184" s="961"/>
      <c r="R184" s="961"/>
      <c r="S184" s="961"/>
      <c r="T184" s="961"/>
      <c r="U184" s="961"/>
      <c r="V184" s="961"/>
      <c r="W184" s="961"/>
    </row>
    <row r="185" spans="1:23" s="966" customFormat="1">
      <c r="A185" s="1068" t="s">
        <v>76</v>
      </c>
      <c r="B185" s="1005"/>
      <c r="C185" s="1005"/>
      <c r="D185" s="983"/>
      <c r="E185" s="1035">
        <v>40000</v>
      </c>
      <c r="G185" s="961"/>
      <c r="I185" s="961"/>
      <c r="K185" s="961"/>
      <c r="M185" s="961"/>
      <c r="O185" s="961"/>
      <c r="P185" s="961"/>
      <c r="Q185" s="961"/>
      <c r="R185" s="961"/>
      <c r="S185" s="961"/>
      <c r="T185" s="961"/>
      <c r="U185" s="961"/>
      <c r="V185" s="961"/>
      <c r="W185" s="961"/>
    </row>
    <row r="186" spans="1:23" s="966" customFormat="1" ht="15.75">
      <c r="A186" s="1068" t="s">
        <v>323</v>
      </c>
      <c r="B186" s="1005"/>
      <c r="C186" s="1005"/>
      <c r="D186" s="983"/>
      <c r="E186" s="1103">
        <v>390000</v>
      </c>
      <c r="G186" s="961"/>
      <c r="I186" s="961"/>
      <c r="K186" s="961"/>
      <c r="M186" s="961"/>
      <c r="O186" s="961"/>
      <c r="P186" s="961"/>
      <c r="Q186" s="961"/>
      <c r="R186" s="961"/>
      <c r="S186" s="961"/>
      <c r="T186" s="961"/>
      <c r="U186" s="961"/>
      <c r="V186" s="961"/>
      <c r="W186" s="961"/>
    </row>
    <row r="187" spans="1:23" s="966" customFormat="1">
      <c r="A187" s="1370" t="s">
        <v>64</v>
      </c>
      <c r="B187" s="1371"/>
      <c r="C187" s="1005"/>
      <c r="D187" s="983" t="s">
        <v>15</v>
      </c>
      <c r="E187" s="1035">
        <f>SUM(E178:E186)</f>
        <v>3625000</v>
      </c>
      <c r="G187" s="961"/>
      <c r="I187" s="961"/>
      <c r="K187" s="961"/>
      <c r="M187" s="961"/>
      <c r="O187" s="961"/>
      <c r="P187" s="961"/>
      <c r="Q187" s="961"/>
      <c r="R187" s="961"/>
      <c r="S187" s="961"/>
      <c r="T187" s="961"/>
      <c r="U187" s="961"/>
      <c r="V187" s="961"/>
      <c r="W187" s="961"/>
    </row>
    <row r="188" spans="1:23" s="966" customFormat="1">
      <c r="A188" s="1104"/>
      <c r="B188" s="1105"/>
      <c r="C188" s="1105"/>
      <c r="D188" s="1106"/>
      <c r="E188" s="1107"/>
      <c r="G188" s="961"/>
      <c r="I188" s="961"/>
      <c r="K188" s="961"/>
      <c r="M188" s="961"/>
      <c r="O188" s="961"/>
      <c r="P188" s="961"/>
      <c r="Q188" s="961"/>
      <c r="R188" s="961"/>
      <c r="S188" s="961"/>
      <c r="T188" s="961"/>
      <c r="U188" s="961"/>
      <c r="V188" s="961"/>
      <c r="W188" s="961"/>
    </row>
    <row r="189" spans="1:23" s="961" customFormat="1">
      <c r="D189" s="966"/>
      <c r="F189" s="966"/>
      <c r="H189" s="966"/>
      <c r="J189" s="966"/>
      <c r="L189" s="966"/>
      <c r="N189" s="966"/>
    </row>
    <row r="190" spans="1:23" s="966" customFormat="1">
      <c r="A190" s="1374" t="s">
        <v>322</v>
      </c>
      <c r="B190" s="1375"/>
      <c r="C190" s="1375"/>
      <c r="D190" s="1375"/>
      <c r="E190" s="1376"/>
      <c r="G190" s="961"/>
      <c r="I190" s="961"/>
      <c r="K190" s="961"/>
      <c r="M190" s="961"/>
      <c r="O190" s="961"/>
      <c r="P190" s="961"/>
      <c r="Q190" s="961"/>
      <c r="R190" s="961"/>
      <c r="S190" s="961"/>
      <c r="T190" s="961"/>
      <c r="U190" s="961"/>
      <c r="V190" s="961"/>
      <c r="W190" s="961"/>
    </row>
    <row r="191" spans="1:23" s="966" customFormat="1">
      <c r="A191" s="1108"/>
      <c r="B191" s="1098"/>
      <c r="C191" s="1098"/>
      <c r="D191" s="1038"/>
      <c r="E191" s="1099"/>
      <c r="G191" s="961"/>
      <c r="I191" s="961"/>
      <c r="K191" s="961"/>
      <c r="M191" s="961"/>
      <c r="O191" s="961"/>
      <c r="P191" s="961"/>
      <c r="Q191" s="961"/>
      <c r="R191" s="961"/>
      <c r="S191" s="961"/>
      <c r="T191" s="961"/>
      <c r="U191" s="961"/>
      <c r="V191" s="961"/>
      <c r="W191" s="961"/>
    </row>
    <row r="192" spans="1:23" s="966" customFormat="1">
      <c r="A192" s="1372" t="s">
        <v>60</v>
      </c>
      <c r="B192" s="1373"/>
      <c r="C192" s="1005"/>
      <c r="D192" s="983"/>
      <c r="E192" s="1100"/>
      <c r="G192" s="961"/>
      <c r="I192" s="961"/>
      <c r="K192" s="961"/>
      <c r="M192" s="961"/>
      <c r="O192" s="961"/>
      <c r="P192" s="961"/>
      <c r="Q192" s="961"/>
      <c r="R192" s="961"/>
      <c r="S192" s="961"/>
      <c r="T192" s="961"/>
      <c r="U192" s="961"/>
      <c r="V192" s="961"/>
      <c r="W192" s="961"/>
    </row>
    <row r="193" spans="1:23" s="966" customFormat="1">
      <c r="A193" s="1101" t="s">
        <v>233</v>
      </c>
      <c r="B193" s="1005"/>
      <c r="C193" s="1005"/>
      <c r="D193" s="983"/>
      <c r="E193" s="1102" t="s">
        <v>300</v>
      </c>
      <c r="G193" s="961"/>
      <c r="I193" s="961"/>
      <c r="K193" s="961"/>
      <c r="M193" s="961"/>
      <c r="O193" s="961"/>
      <c r="P193" s="961"/>
      <c r="Q193" s="961"/>
      <c r="R193" s="961"/>
      <c r="S193" s="961"/>
      <c r="T193" s="961"/>
      <c r="U193" s="961"/>
      <c r="V193" s="961"/>
      <c r="W193" s="961"/>
    </row>
    <row r="194" spans="1:23" s="966" customFormat="1">
      <c r="A194" s="1101"/>
      <c r="B194" s="1005"/>
      <c r="C194" s="1005"/>
      <c r="D194" s="983"/>
      <c r="E194" s="1100"/>
      <c r="G194" s="961"/>
      <c r="I194" s="961"/>
      <c r="K194" s="961"/>
      <c r="M194" s="961"/>
      <c r="O194" s="961"/>
      <c r="P194" s="961"/>
      <c r="Q194" s="961"/>
      <c r="R194" s="961"/>
      <c r="S194" s="961"/>
      <c r="T194" s="961"/>
      <c r="U194" s="961"/>
      <c r="V194" s="961"/>
      <c r="W194" s="961"/>
    </row>
    <row r="195" spans="1:23" s="966" customFormat="1">
      <c r="A195" s="1068" t="s">
        <v>61</v>
      </c>
      <c r="B195" s="1005"/>
      <c r="C195" s="1005"/>
      <c r="D195" s="983" t="s">
        <v>15</v>
      </c>
      <c r="E195" s="1035">
        <v>181000</v>
      </c>
      <c r="G195" s="961"/>
      <c r="I195" s="961"/>
      <c r="K195" s="961"/>
      <c r="M195" s="961"/>
      <c r="O195" s="961"/>
      <c r="P195" s="961"/>
      <c r="Q195" s="961"/>
      <c r="R195" s="961"/>
      <c r="S195" s="961"/>
      <c r="T195" s="961"/>
      <c r="U195" s="961"/>
      <c r="V195" s="961"/>
      <c r="W195" s="961"/>
    </row>
    <row r="196" spans="1:23" s="966" customFormat="1">
      <c r="A196" s="1068" t="s">
        <v>76</v>
      </c>
      <c r="B196" s="1005"/>
      <c r="C196" s="1005"/>
      <c r="D196" s="983"/>
      <c r="E196" s="1035">
        <v>287000</v>
      </c>
      <c r="G196" s="961"/>
      <c r="I196" s="961"/>
      <c r="K196" s="961"/>
      <c r="M196" s="961"/>
      <c r="O196" s="961"/>
      <c r="P196" s="961"/>
      <c r="Q196" s="961"/>
      <c r="R196" s="961"/>
      <c r="S196" s="961"/>
      <c r="T196" s="961"/>
      <c r="U196" s="961"/>
      <c r="V196" s="961"/>
      <c r="W196" s="961"/>
    </row>
    <row r="197" spans="1:23" s="966" customFormat="1" ht="15.75">
      <c r="A197" s="1068" t="s">
        <v>323</v>
      </c>
      <c r="B197" s="1005"/>
      <c r="C197" s="1005"/>
      <c r="D197" s="983"/>
      <c r="E197" s="1103">
        <v>930000</v>
      </c>
      <c r="G197" s="961"/>
      <c r="I197" s="961"/>
      <c r="K197" s="961"/>
      <c r="M197" s="961"/>
      <c r="O197" s="961"/>
      <c r="P197" s="961"/>
      <c r="Q197" s="961"/>
      <c r="R197" s="961"/>
      <c r="S197" s="961"/>
      <c r="T197" s="961"/>
      <c r="U197" s="961"/>
      <c r="V197" s="961"/>
      <c r="W197" s="961"/>
    </row>
    <row r="198" spans="1:23" s="966" customFormat="1">
      <c r="A198" s="1377" t="s">
        <v>64</v>
      </c>
      <c r="B198" s="1378"/>
      <c r="C198" s="1105"/>
      <c r="D198" s="1106" t="s">
        <v>15</v>
      </c>
      <c r="E198" s="1036">
        <f>SUM(E195:E197)</f>
        <v>1398000</v>
      </c>
      <c r="G198" s="961"/>
      <c r="I198" s="961"/>
      <c r="K198" s="961"/>
      <c r="M198" s="961"/>
      <c r="O198" s="961"/>
      <c r="P198" s="961"/>
      <c r="Q198" s="961"/>
      <c r="R198" s="961"/>
      <c r="S198" s="961"/>
      <c r="T198" s="961"/>
      <c r="U198" s="961"/>
      <c r="V198" s="961"/>
      <c r="W198" s="961"/>
    </row>
    <row r="199" spans="1:23" s="961" customFormat="1">
      <c r="D199" s="966"/>
      <c r="F199" s="966"/>
      <c r="H199" s="966"/>
      <c r="J199" s="966"/>
      <c r="L199" s="966"/>
      <c r="N199" s="966"/>
    </row>
  </sheetData>
  <sheetProtection algorithmName="SHA-512" hashValue="871TkZN74if6GaBNv9FcTabqD8ksBvEdJ4wx0w+MplMKDp62s+9yZuz0JbaknEMhruGIliKbwVqaduoG3+vxXg==" saltValue="RMgYmw3P/5Z+Gi7+XODBgQ==" spinCount="100000" sheet="1" objects="1" scenarios="1"/>
  <mergeCells count="35">
    <mergeCell ref="A198:B198"/>
    <mergeCell ref="A170:B170"/>
    <mergeCell ref="A173:E173"/>
    <mergeCell ref="A175:B175"/>
    <mergeCell ref="A187:B187"/>
    <mergeCell ref="A190:E190"/>
    <mergeCell ref="A192:B192"/>
    <mergeCell ref="A159:B159"/>
    <mergeCell ref="A37:B37"/>
    <mergeCell ref="A77:B77"/>
    <mergeCell ref="A103:B103"/>
    <mergeCell ref="A105:B105"/>
    <mergeCell ref="A111:B111"/>
    <mergeCell ref="A112:B112"/>
    <mergeCell ref="A157:E157"/>
    <mergeCell ref="C111:G111"/>
    <mergeCell ref="N11:O13"/>
    <mergeCell ref="D11:E11"/>
    <mergeCell ref="F11:K11"/>
    <mergeCell ref="L11:M11"/>
    <mergeCell ref="A12:B12"/>
    <mergeCell ref="D12:E12"/>
    <mergeCell ref="F12:G12"/>
    <mergeCell ref="H12:I12"/>
    <mergeCell ref="J12:K13"/>
    <mergeCell ref="D13:E13"/>
    <mergeCell ref="F13:G13"/>
    <mergeCell ref="H13:I13"/>
    <mergeCell ref="A3:M3"/>
    <mergeCell ref="A4:M4"/>
    <mergeCell ref="I111:M111"/>
    <mergeCell ref="I112:M112"/>
    <mergeCell ref="L12:M12"/>
    <mergeCell ref="L13:M13"/>
    <mergeCell ref="C112:G112"/>
  </mergeCells>
  <pageMargins left="7.8740157480315001E-2" right="7.8740157480315001E-2" top="1" bottom="1" header="0.5" footer="0.511811023622047"/>
  <pageSetup paperSize="14" orientation="portrait" verticalDpi="300" r:id="rId1"/>
  <headerFooter alignWithMargins="0">
    <oddHeader>&amp;RPage &amp;P of 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FF00"/>
    <pageSetUpPr fitToPage="1"/>
  </sheetPr>
  <dimension ref="A1:U121"/>
  <sheetViews>
    <sheetView topLeftCell="A91" zoomScale="145" zoomScaleNormal="145" workbookViewId="0">
      <selection activeCell="N22" sqref="N22"/>
    </sheetView>
  </sheetViews>
  <sheetFormatPr defaultColWidth="9.140625" defaultRowHeight="12.75"/>
  <cols>
    <col min="1" max="1" width="7.5703125" style="8" customWidth="1"/>
    <col min="2" max="2" width="32.42578125" style="8" customWidth="1"/>
    <col min="3" max="3" width="8.42578125" style="8" customWidth="1"/>
    <col min="4" max="4" width="1.7109375" style="9" customWidth="1"/>
    <col min="5" max="5" width="11.5703125" style="8" customWidth="1"/>
    <col min="6" max="6" width="1.7109375" style="8" customWidth="1"/>
    <col min="7" max="7" width="8.85546875" style="8" customWidth="1"/>
    <col min="8" max="8" width="1.7109375" style="8" customWidth="1"/>
    <col min="9" max="9" width="9.7109375" style="8" customWidth="1"/>
    <col min="10" max="10" width="1.7109375" style="9" customWidth="1"/>
    <col min="11" max="11" width="10" style="8" customWidth="1"/>
    <col min="12" max="12" width="1.7109375" style="9" customWidth="1"/>
    <col min="13" max="13" width="10.28515625" style="8" customWidth="1"/>
    <col min="14" max="14" width="1.7109375" style="928" hidden="1" customWidth="1"/>
    <col min="15" max="15" width="9" style="922" hidden="1" customWidth="1"/>
    <col min="16" max="16" width="10.28515625" style="922" hidden="1" customWidth="1"/>
    <col min="17" max="17" width="13.5703125" style="1011" hidden="1" customWidth="1"/>
    <col min="18" max="18" width="14" style="1011" hidden="1" customWidth="1"/>
    <col min="19" max="19" width="10.5703125" style="1011" bestFit="1" customWidth="1"/>
    <col min="20" max="20" width="11.5703125" style="347" bestFit="1" customWidth="1"/>
    <col min="21" max="21" width="13.140625" style="347" bestFit="1" customWidth="1"/>
    <col min="22" max="16384" width="9.140625" style="8"/>
  </cols>
  <sheetData>
    <row r="1" spans="1:16">
      <c r="A1" s="8" t="s">
        <v>186</v>
      </c>
    </row>
    <row r="2" spans="1:16" ht="9" customHeight="1"/>
    <row r="3" spans="1:16">
      <c r="A3" s="1254" t="s">
        <v>195</v>
      </c>
      <c r="B3" s="1254"/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010"/>
      <c r="O3" s="1010"/>
      <c r="P3" s="1117"/>
    </row>
    <row r="4" spans="1:16">
      <c r="A4" s="1254" t="s">
        <v>394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010"/>
      <c r="O4" s="1010"/>
      <c r="P4" s="1117"/>
    </row>
    <row r="5" spans="1:16" ht="9" customHeight="1"/>
    <row r="6" spans="1:16">
      <c r="A6" s="11" t="s">
        <v>85</v>
      </c>
      <c r="B6" s="12" t="s">
        <v>860</v>
      </c>
      <c r="C6" s="12"/>
    </row>
    <row r="7" spans="1:16" ht="12.75" hidden="1" customHeight="1">
      <c r="A7" s="8" t="s">
        <v>2</v>
      </c>
      <c r="B7" s="13" t="s">
        <v>396</v>
      </c>
      <c r="C7" s="13"/>
      <c r="F7" s="819"/>
      <c r="G7" s="819"/>
      <c r="H7" s="819"/>
      <c r="I7" s="819"/>
      <c r="J7" s="819"/>
      <c r="K7" s="819"/>
      <c r="L7" s="819"/>
      <c r="M7" s="819"/>
      <c r="N7" s="1012"/>
      <c r="O7" s="1012"/>
      <c r="P7" s="1118"/>
    </row>
    <row r="8" spans="1:16" ht="12.75" hidden="1" customHeight="1">
      <c r="A8" s="8" t="s">
        <v>3</v>
      </c>
      <c r="B8" s="13" t="s">
        <v>397</v>
      </c>
      <c r="C8" s="13"/>
      <c r="F8" s="79"/>
      <c r="G8" s="79"/>
      <c r="H8" s="79"/>
      <c r="I8" s="79"/>
      <c r="J8" s="79"/>
      <c r="K8" s="79"/>
      <c r="L8" s="79"/>
      <c r="M8" s="79"/>
      <c r="N8" s="1013"/>
      <c r="O8" s="1013"/>
      <c r="P8" s="1011"/>
    </row>
    <row r="9" spans="1:16" ht="12.75" hidden="1" customHeight="1">
      <c r="A9" s="8" t="s">
        <v>4</v>
      </c>
      <c r="B9" s="13" t="s">
        <v>398</v>
      </c>
      <c r="C9" s="13"/>
    </row>
    <row r="10" spans="1:16" ht="10.5" customHeight="1">
      <c r="B10" s="14"/>
      <c r="C10" s="14"/>
    </row>
    <row r="11" spans="1:16">
      <c r="A11" s="15"/>
      <c r="B11" s="16"/>
      <c r="C11" s="350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328" t="s">
        <v>494</v>
      </c>
      <c r="O11" s="1329"/>
      <c r="P11" s="1114"/>
    </row>
    <row r="12" spans="1:16">
      <c r="A12" s="1308" t="s">
        <v>34</v>
      </c>
      <c r="B12" s="1309"/>
      <c r="C12" s="18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330"/>
      <c r="O12" s="1331"/>
      <c r="P12" s="1114"/>
    </row>
    <row r="13" spans="1:16">
      <c r="A13" s="19"/>
      <c r="B13" s="20"/>
      <c r="C13" s="21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332"/>
      <c r="O13" s="1333"/>
      <c r="P13" s="1114"/>
    </row>
    <row r="14" spans="1:16" ht="14.25" customHeight="1">
      <c r="A14" s="22" t="s">
        <v>281</v>
      </c>
      <c r="B14" s="23"/>
      <c r="C14" s="24"/>
      <c r="D14" s="25"/>
      <c r="E14" s="26"/>
      <c r="F14" s="27"/>
      <c r="G14" s="26"/>
      <c r="H14" s="27"/>
      <c r="I14" s="26"/>
      <c r="J14" s="25"/>
      <c r="K14" s="26"/>
      <c r="L14" s="25"/>
      <c r="M14" s="26"/>
      <c r="N14" s="1014"/>
      <c r="O14" s="1119"/>
      <c r="P14" s="1120"/>
    </row>
    <row r="15" spans="1:16" ht="14.25" customHeight="1">
      <c r="A15" s="28" t="s">
        <v>262</v>
      </c>
      <c r="B15" s="23"/>
      <c r="C15" s="24"/>
      <c r="D15" s="25"/>
      <c r="E15" s="26"/>
      <c r="F15" s="27"/>
      <c r="G15" s="26"/>
      <c r="H15" s="27"/>
      <c r="I15" s="26"/>
      <c r="J15" s="25"/>
      <c r="K15" s="26"/>
      <c r="L15" s="25"/>
      <c r="M15" s="26"/>
      <c r="N15" s="1014"/>
      <c r="O15" s="1119"/>
      <c r="P15" s="1120"/>
    </row>
    <row r="16" spans="1:16" ht="13.5" customHeight="1">
      <c r="A16" s="28" t="s">
        <v>263</v>
      </c>
      <c r="B16" s="23"/>
      <c r="C16" s="29" t="s">
        <v>114</v>
      </c>
      <c r="D16" s="25" t="s">
        <v>15</v>
      </c>
      <c r="E16" s="26">
        <v>1190053.1200000001</v>
      </c>
      <c r="F16" s="25" t="s">
        <v>15</v>
      </c>
      <c r="G16" s="26">
        <v>558888</v>
      </c>
      <c r="H16" s="25" t="s">
        <v>15</v>
      </c>
      <c r="I16" s="26">
        <f>K16-G16</f>
        <v>558888</v>
      </c>
      <c r="J16" s="25" t="s">
        <v>15</v>
      </c>
      <c r="K16" s="26">
        <v>1117776</v>
      </c>
      <c r="L16" s="25" t="s">
        <v>15</v>
      </c>
      <c r="M16" s="26">
        <v>2357700</v>
      </c>
      <c r="N16" s="1016" t="s">
        <v>15</v>
      </c>
      <c r="O16" s="1121">
        <v>0</v>
      </c>
      <c r="P16" s="1120"/>
    </row>
    <row r="17" spans="1:21">
      <c r="A17" s="28" t="s">
        <v>264</v>
      </c>
      <c r="B17" s="23"/>
      <c r="C17" s="29" t="s">
        <v>115</v>
      </c>
      <c r="D17" s="25"/>
      <c r="E17" s="26">
        <v>949431.82</v>
      </c>
      <c r="F17" s="27"/>
      <c r="G17" s="26">
        <v>957222.81</v>
      </c>
      <c r="H17" s="27"/>
      <c r="I17" s="26">
        <f t="shared" ref="I17:I31" si="0">K17-G17</f>
        <v>1090961.19</v>
      </c>
      <c r="J17" s="25"/>
      <c r="K17" s="26">
        <v>2048184</v>
      </c>
      <c r="L17" s="25"/>
      <c r="M17" s="26">
        <v>2048088</v>
      </c>
      <c r="N17" s="1019"/>
      <c r="O17" s="1021">
        <v>0</v>
      </c>
      <c r="P17" s="1120"/>
    </row>
    <row r="18" spans="1:21">
      <c r="A18" s="28" t="s">
        <v>265</v>
      </c>
      <c r="B18" s="23"/>
      <c r="C18" s="29"/>
      <c r="D18" s="25"/>
      <c r="E18" s="26"/>
      <c r="F18" s="27"/>
      <c r="G18" s="26"/>
      <c r="H18" s="27"/>
      <c r="I18" s="26"/>
      <c r="J18" s="25"/>
      <c r="K18" s="26"/>
      <c r="L18" s="25"/>
      <c r="M18" s="26"/>
      <c r="N18" s="1019"/>
      <c r="O18" s="1021"/>
      <c r="P18" s="1120"/>
    </row>
    <row r="19" spans="1:21">
      <c r="A19" s="28" t="s">
        <v>266</v>
      </c>
      <c r="B19" s="23"/>
      <c r="C19" s="29" t="s">
        <v>116</v>
      </c>
      <c r="D19" s="25"/>
      <c r="E19" s="26">
        <v>254409.7</v>
      </c>
      <c r="F19" s="27"/>
      <c r="G19" s="26">
        <v>193724.31</v>
      </c>
      <c r="H19" s="27"/>
      <c r="I19" s="26">
        <f t="shared" si="0"/>
        <v>214275.69</v>
      </c>
      <c r="J19" s="25"/>
      <c r="K19" s="26">
        <v>408000</v>
      </c>
      <c r="L19" s="25"/>
      <c r="M19" s="26">
        <v>456000</v>
      </c>
      <c r="N19" s="1019"/>
      <c r="O19" s="1021">
        <v>0</v>
      </c>
      <c r="P19" s="1120"/>
    </row>
    <row r="20" spans="1:21">
      <c r="A20" s="28" t="s">
        <v>267</v>
      </c>
      <c r="B20" s="23"/>
      <c r="C20" s="29" t="s">
        <v>117</v>
      </c>
      <c r="D20" s="25"/>
      <c r="E20" s="26">
        <v>0</v>
      </c>
      <c r="F20" s="27"/>
      <c r="G20" s="26">
        <v>0</v>
      </c>
      <c r="H20" s="27"/>
      <c r="I20" s="26">
        <f t="shared" si="0"/>
        <v>0</v>
      </c>
      <c r="J20" s="25"/>
      <c r="K20" s="26">
        <v>0</v>
      </c>
      <c r="L20" s="25"/>
      <c r="M20" s="26">
        <v>81000</v>
      </c>
      <c r="N20" s="1019"/>
      <c r="O20" s="1021">
        <v>0</v>
      </c>
      <c r="P20" s="1120"/>
    </row>
    <row r="21" spans="1:21" ht="14.25" customHeight="1">
      <c r="A21" s="28" t="s">
        <v>268</v>
      </c>
      <c r="B21" s="32"/>
      <c r="C21" s="29" t="s">
        <v>118</v>
      </c>
      <c r="D21" s="25"/>
      <c r="E21" s="26">
        <v>0</v>
      </c>
      <c r="F21" s="27"/>
      <c r="G21" s="26">
        <v>0</v>
      </c>
      <c r="H21" s="27"/>
      <c r="I21" s="26">
        <f t="shared" si="0"/>
        <v>0</v>
      </c>
      <c r="J21" s="25"/>
      <c r="K21" s="26">
        <v>0</v>
      </c>
      <c r="L21" s="25"/>
      <c r="M21" s="26">
        <v>81000</v>
      </c>
      <c r="N21" s="1019"/>
      <c r="O21" s="1021">
        <v>0</v>
      </c>
      <c r="P21" s="1120"/>
    </row>
    <row r="22" spans="1:21">
      <c r="A22" s="28" t="s">
        <v>269</v>
      </c>
      <c r="B22" s="32"/>
      <c r="C22" s="29" t="s">
        <v>119</v>
      </c>
      <c r="D22" s="25"/>
      <c r="E22" s="26">
        <v>60000</v>
      </c>
      <c r="F22" s="27"/>
      <c r="G22" s="26">
        <v>102000</v>
      </c>
      <c r="H22" s="27"/>
      <c r="I22" s="26">
        <f t="shared" si="0"/>
        <v>0</v>
      </c>
      <c r="J22" s="25"/>
      <c r="K22" s="26">
        <v>102000</v>
      </c>
      <c r="L22" s="25"/>
      <c r="M22" s="26">
        <v>114000</v>
      </c>
      <c r="N22" s="1019"/>
      <c r="O22" s="1021">
        <v>0</v>
      </c>
      <c r="P22" s="1120"/>
    </row>
    <row r="23" spans="1:21">
      <c r="A23" s="28" t="s">
        <v>270</v>
      </c>
      <c r="B23" s="32"/>
      <c r="C23" s="29" t="s">
        <v>120</v>
      </c>
      <c r="D23" s="25"/>
      <c r="E23" s="26">
        <v>58250</v>
      </c>
      <c r="F23" s="27"/>
      <c r="G23" s="26">
        <v>0</v>
      </c>
      <c r="H23" s="27"/>
      <c r="I23" s="26">
        <f t="shared" si="0"/>
        <v>85000</v>
      </c>
      <c r="J23" s="25"/>
      <c r="K23" s="26">
        <v>85000</v>
      </c>
      <c r="L23" s="25"/>
      <c r="M23" s="26">
        <v>95000</v>
      </c>
      <c r="N23" s="1019"/>
      <c r="O23" s="1021">
        <v>0</v>
      </c>
      <c r="P23" s="1120"/>
    </row>
    <row r="24" spans="1:21">
      <c r="A24" s="28" t="s">
        <v>271</v>
      </c>
      <c r="B24" s="23"/>
      <c r="C24" s="29" t="s">
        <v>121</v>
      </c>
      <c r="D24" s="25"/>
      <c r="E24" s="26">
        <v>180635.7</v>
      </c>
      <c r="F24" s="27"/>
      <c r="G24" s="26">
        <v>0</v>
      </c>
      <c r="H24" s="27"/>
      <c r="I24" s="26">
        <f t="shared" si="0"/>
        <v>263830</v>
      </c>
      <c r="J24" s="25"/>
      <c r="K24" s="26">
        <v>263830</v>
      </c>
      <c r="L24" s="25"/>
      <c r="M24" s="26">
        <v>367149</v>
      </c>
      <c r="N24" s="1019"/>
      <c r="O24" s="1021">
        <v>0</v>
      </c>
      <c r="P24" s="1120"/>
    </row>
    <row r="25" spans="1:21">
      <c r="A25" s="28" t="s">
        <v>278</v>
      </c>
      <c r="B25" s="33"/>
      <c r="C25" s="29" t="s">
        <v>258</v>
      </c>
      <c r="D25" s="25"/>
      <c r="E25" s="26"/>
      <c r="F25" s="27"/>
      <c r="G25" s="26"/>
      <c r="H25" s="27"/>
      <c r="I25" s="26"/>
      <c r="J25" s="25"/>
      <c r="K25" s="26"/>
      <c r="L25" s="25"/>
      <c r="M25" s="26"/>
      <c r="N25" s="1019"/>
      <c r="O25" s="1021"/>
      <c r="P25" s="1120"/>
    </row>
    <row r="26" spans="1:21">
      <c r="A26" s="28" t="s">
        <v>279</v>
      </c>
      <c r="B26" s="33"/>
      <c r="C26" s="29"/>
      <c r="D26" s="25"/>
      <c r="E26" s="26">
        <v>140761.48000000001</v>
      </c>
      <c r="F26" s="27"/>
      <c r="G26" s="26">
        <v>263821.14</v>
      </c>
      <c r="H26" s="27"/>
      <c r="I26" s="26">
        <f t="shared" si="0"/>
        <v>8.8599999999860302</v>
      </c>
      <c r="J26" s="25"/>
      <c r="K26" s="26">
        <v>263830</v>
      </c>
      <c r="L26" s="25"/>
      <c r="M26" s="26">
        <v>367149</v>
      </c>
      <c r="N26" s="1019"/>
      <c r="O26" s="1021">
        <v>0</v>
      </c>
      <c r="P26" s="1120"/>
    </row>
    <row r="27" spans="1:21">
      <c r="A27" s="28" t="s">
        <v>280</v>
      </c>
      <c r="B27" s="33"/>
      <c r="C27" s="29"/>
      <c r="D27" s="25"/>
      <c r="E27" s="26">
        <v>0</v>
      </c>
      <c r="F27" s="27"/>
      <c r="G27" s="26">
        <v>33000</v>
      </c>
      <c r="H27" s="27"/>
      <c r="I27" s="26">
        <f t="shared" si="0"/>
        <v>18000</v>
      </c>
      <c r="J27" s="25"/>
      <c r="K27" s="26">
        <v>51000</v>
      </c>
      <c r="L27" s="25"/>
      <c r="M27" s="26">
        <v>0</v>
      </c>
      <c r="N27" s="1019"/>
      <c r="O27" s="1021">
        <v>0</v>
      </c>
      <c r="P27" s="1120"/>
    </row>
    <row r="28" spans="1:21">
      <c r="A28" s="28" t="s">
        <v>272</v>
      </c>
      <c r="B28" s="23"/>
      <c r="C28" s="29" t="s">
        <v>122</v>
      </c>
      <c r="D28" s="25"/>
      <c r="E28" s="26">
        <v>244343.86</v>
      </c>
      <c r="F28" s="27"/>
      <c r="G28" s="26">
        <v>186145.51</v>
      </c>
      <c r="H28" s="27"/>
      <c r="I28" s="26">
        <f t="shared" si="0"/>
        <v>193770.49</v>
      </c>
      <c r="J28" s="25"/>
      <c r="K28" s="26">
        <v>379916</v>
      </c>
      <c r="L28" s="25"/>
      <c r="M28" s="26">
        <v>528695</v>
      </c>
      <c r="N28" s="1019"/>
      <c r="O28" s="1021">
        <v>0</v>
      </c>
      <c r="P28" s="1120"/>
    </row>
    <row r="29" spans="1:21">
      <c r="A29" s="28" t="s">
        <v>273</v>
      </c>
      <c r="B29" s="23"/>
      <c r="C29" s="29" t="s">
        <v>123</v>
      </c>
      <c r="D29" s="25"/>
      <c r="E29" s="26">
        <v>40666.03</v>
      </c>
      <c r="F29" s="27"/>
      <c r="G29" s="26">
        <v>12733.02</v>
      </c>
      <c r="H29" s="27"/>
      <c r="I29" s="26">
        <f t="shared" si="0"/>
        <v>50698.979999999996</v>
      </c>
      <c r="J29" s="25"/>
      <c r="K29" s="26">
        <v>63432</v>
      </c>
      <c r="L29" s="25"/>
      <c r="M29" s="26">
        <v>22800</v>
      </c>
      <c r="N29" s="1019"/>
      <c r="O29" s="1021">
        <v>0</v>
      </c>
      <c r="P29" s="1120"/>
    </row>
    <row r="30" spans="1:21">
      <c r="A30" s="28" t="s">
        <v>274</v>
      </c>
      <c r="B30" s="23"/>
      <c r="C30" s="29" t="s">
        <v>124</v>
      </c>
      <c r="D30" s="25"/>
      <c r="E30" s="26">
        <v>30105.279999999999</v>
      </c>
      <c r="F30" s="27"/>
      <c r="G30" s="26">
        <v>24280.76</v>
      </c>
      <c r="H30" s="27"/>
      <c r="I30" s="26">
        <f t="shared" si="0"/>
        <v>39151.240000000005</v>
      </c>
      <c r="J30" s="25"/>
      <c r="K30" s="26">
        <v>63432</v>
      </c>
      <c r="L30" s="25"/>
      <c r="M30" s="26">
        <v>99252</v>
      </c>
      <c r="N30" s="1019"/>
      <c r="O30" s="1021">
        <v>0</v>
      </c>
      <c r="P30" s="1120"/>
    </row>
    <row r="31" spans="1:21" ht="16.5" customHeight="1">
      <c r="A31" s="28" t="s">
        <v>275</v>
      </c>
      <c r="B31" s="23"/>
      <c r="C31" s="29" t="s">
        <v>125</v>
      </c>
      <c r="D31" s="25"/>
      <c r="E31" s="26">
        <v>12400</v>
      </c>
      <c r="F31" s="27"/>
      <c r="G31" s="26">
        <v>10100</v>
      </c>
      <c r="H31" s="27"/>
      <c r="I31" s="26">
        <f t="shared" si="0"/>
        <v>10300</v>
      </c>
      <c r="J31" s="25"/>
      <c r="K31" s="26">
        <v>20400</v>
      </c>
      <c r="L31" s="25"/>
      <c r="M31" s="26">
        <v>22800</v>
      </c>
      <c r="N31" s="1019"/>
      <c r="O31" s="1021">
        <v>0</v>
      </c>
      <c r="P31" s="1120"/>
    </row>
    <row r="32" spans="1:21">
      <c r="A32" s="28" t="s">
        <v>276</v>
      </c>
      <c r="B32" s="33"/>
      <c r="C32" s="29" t="s">
        <v>161</v>
      </c>
      <c r="D32" s="25"/>
      <c r="E32" s="26"/>
      <c r="F32" s="25"/>
      <c r="G32" s="26"/>
      <c r="H32" s="25"/>
      <c r="I32" s="26"/>
      <c r="J32" s="25"/>
      <c r="K32" s="26"/>
      <c r="L32" s="25"/>
      <c r="M32" s="26"/>
      <c r="N32" s="1019"/>
      <c r="O32" s="1021"/>
      <c r="P32" s="1120"/>
      <c r="Q32" s="1018"/>
      <c r="R32" s="922"/>
      <c r="S32" s="922"/>
      <c r="T32" s="8"/>
      <c r="U32" s="8"/>
    </row>
    <row r="33" spans="1:21">
      <c r="A33" s="28" t="s">
        <v>292</v>
      </c>
      <c r="B33" s="33"/>
      <c r="C33" s="29"/>
      <c r="D33" s="25"/>
      <c r="E33" s="26">
        <v>0</v>
      </c>
      <c r="F33" s="25"/>
      <c r="G33" s="26">
        <v>0</v>
      </c>
      <c r="H33" s="25"/>
      <c r="I33" s="26">
        <f>K33-G33</f>
        <v>0</v>
      </c>
      <c r="J33" s="25"/>
      <c r="K33" s="26">
        <v>0</v>
      </c>
      <c r="L33" s="25"/>
      <c r="M33" s="26">
        <v>213076</v>
      </c>
      <c r="N33" s="1019"/>
      <c r="O33" s="1021">
        <v>0</v>
      </c>
      <c r="P33" s="1120"/>
      <c r="Q33" s="922"/>
      <c r="R33" s="922"/>
      <c r="S33" s="922"/>
      <c r="T33" s="8"/>
      <c r="U33" s="8"/>
    </row>
    <row r="34" spans="1:21">
      <c r="A34" s="28" t="s">
        <v>284</v>
      </c>
      <c r="B34" s="33"/>
      <c r="C34" s="29"/>
      <c r="D34" s="25"/>
      <c r="E34" s="26">
        <v>57500</v>
      </c>
      <c r="F34" s="27"/>
      <c r="G34" s="26">
        <v>0</v>
      </c>
      <c r="H34" s="27"/>
      <c r="I34" s="26">
        <f>K34-G34</f>
        <v>85000</v>
      </c>
      <c r="J34" s="25"/>
      <c r="K34" s="26">
        <v>85000</v>
      </c>
      <c r="L34" s="25"/>
      <c r="M34" s="26">
        <v>95000</v>
      </c>
      <c r="N34" s="1019"/>
      <c r="O34" s="1021">
        <v>0</v>
      </c>
      <c r="P34" s="1120"/>
      <c r="T34" s="808"/>
      <c r="U34" s="808"/>
    </row>
    <row r="35" spans="1:21">
      <c r="A35" s="28" t="s">
        <v>1155</v>
      </c>
      <c r="B35" s="33"/>
      <c r="C35" s="29"/>
      <c r="D35" s="25"/>
      <c r="E35" s="26">
        <v>0</v>
      </c>
      <c r="F35" s="27"/>
      <c r="G35" s="26">
        <v>0</v>
      </c>
      <c r="H35" s="27"/>
      <c r="I35" s="26">
        <f>K35-G35</f>
        <v>139862</v>
      </c>
      <c r="J35" s="25"/>
      <c r="K35" s="26">
        <v>139862</v>
      </c>
      <c r="L35" s="25"/>
      <c r="M35" s="26">
        <v>0</v>
      </c>
      <c r="N35" s="1019"/>
      <c r="O35" s="1021">
        <v>0</v>
      </c>
      <c r="P35" s="1120"/>
    </row>
    <row r="36" spans="1:21" ht="15" customHeight="1">
      <c r="A36" s="28" t="s">
        <v>285</v>
      </c>
      <c r="B36" s="33"/>
      <c r="C36" s="29"/>
      <c r="D36" s="25"/>
      <c r="E36" s="26">
        <v>10000</v>
      </c>
      <c r="F36" s="27"/>
      <c r="G36" s="26"/>
      <c r="H36" s="27"/>
      <c r="I36" s="26">
        <f>K36-G36</f>
        <v>0</v>
      </c>
      <c r="J36" s="25"/>
      <c r="K36" s="31">
        <v>0</v>
      </c>
      <c r="L36" s="30"/>
      <c r="M36" s="31">
        <v>5000</v>
      </c>
      <c r="N36" s="1019"/>
      <c r="O36" s="1021">
        <v>0</v>
      </c>
      <c r="P36" s="1120"/>
    </row>
    <row r="37" spans="1:21" ht="13.5" customHeight="1">
      <c r="A37" s="1251" t="s">
        <v>14</v>
      </c>
      <c r="B37" s="1252"/>
      <c r="C37" s="29"/>
      <c r="D37" s="35" t="s">
        <v>15</v>
      </c>
      <c r="E37" s="36">
        <f>SUM(E16:E36)</f>
        <v>3228556.9899999998</v>
      </c>
      <c r="F37" s="35" t="s">
        <v>15</v>
      </c>
      <c r="G37" s="36">
        <f>SUM(G16:G36)</f>
        <v>2341915.5500000003</v>
      </c>
      <c r="H37" s="35" t="s">
        <v>15</v>
      </c>
      <c r="I37" s="36">
        <f>SUM(I16:I36)</f>
        <v>2749746.4499999997</v>
      </c>
      <c r="J37" s="35" t="s">
        <v>15</v>
      </c>
      <c r="K37" s="36">
        <f>SUM(K16:K36)</f>
        <v>5091662</v>
      </c>
      <c r="L37" s="35" t="s">
        <v>15</v>
      </c>
      <c r="M37" s="36">
        <f>SUM(M16:M36)</f>
        <v>6953709</v>
      </c>
      <c r="N37" s="1022" t="s">
        <v>15</v>
      </c>
      <c r="O37" s="1122">
        <f>SUM(O16:O36)</f>
        <v>0</v>
      </c>
      <c r="P37" s="1122"/>
      <c r="Q37" s="1122">
        <v>6186953.1099999985</v>
      </c>
      <c r="R37" s="1122">
        <v>11688236</v>
      </c>
    </row>
    <row r="38" spans="1:21" ht="16.5" customHeight="1">
      <c r="A38" s="22" t="s">
        <v>282</v>
      </c>
      <c r="B38" s="23"/>
      <c r="C38" s="29"/>
      <c r="D38" s="42"/>
      <c r="E38" s="43"/>
      <c r="F38" s="44"/>
      <c r="G38" s="44"/>
      <c r="H38" s="45"/>
      <c r="I38" s="43"/>
      <c r="J38" s="42"/>
      <c r="K38" s="43"/>
      <c r="L38" s="46"/>
      <c r="M38" s="43"/>
      <c r="N38" s="1123"/>
      <c r="O38" s="1124"/>
      <c r="P38" s="1120" t="s">
        <v>1163</v>
      </c>
    </row>
    <row r="39" spans="1:21" ht="16.5" customHeight="1">
      <c r="A39" s="28" t="s">
        <v>41</v>
      </c>
      <c r="B39" s="23"/>
      <c r="C39" s="29" t="s">
        <v>126</v>
      </c>
      <c r="D39" s="40" t="s">
        <v>15</v>
      </c>
      <c r="E39" s="26">
        <v>23296</v>
      </c>
      <c r="F39" s="40" t="s">
        <v>15</v>
      </c>
      <c r="G39" s="26">
        <v>67962</v>
      </c>
      <c r="H39" s="25" t="s">
        <v>15</v>
      </c>
      <c r="I39" s="26">
        <f t="shared" ref="I39:I49" si="1">K39-G39</f>
        <v>182038</v>
      </c>
      <c r="J39" s="40" t="s">
        <v>15</v>
      </c>
      <c r="K39" s="26">
        <v>250000</v>
      </c>
      <c r="L39" s="25" t="s">
        <v>15</v>
      </c>
      <c r="M39" s="26">
        <v>200000</v>
      </c>
      <c r="N39" s="1016" t="s">
        <v>15</v>
      </c>
      <c r="O39" s="1121">
        <f>M39-K39</f>
        <v>-50000</v>
      </c>
      <c r="P39" s="1120">
        <f>50000</f>
        <v>50000</v>
      </c>
      <c r="Q39" s="1116">
        <f>O39-K39</f>
        <v>-300000</v>
      </c>
    </row>
    <row r="40" spans="1:21" ht="16.5" customHeight="1">
      <c r="A40" s="28" t="s">
        <v>42</v>
      </c>
      <c r="B40" s="23"/>
      <c r="C40" s="29" t="s">
        <v>127</v>
      </c>
      <c r="D40" s="40"/>
      <c r="E40" s="26">
        <v>35142</v>
      </c>
      <c r="F40" s="47"/>
      <c r="G40" s="26">
        <v>36918</v>
      </c>
      <c r="H40" s="27"/>
      <c r="I40" s="26">
        <f t="shared" si="1"/>
        <v>338082</v>
      </c>
      <c r="J40" s="40"/>
      <c r="K40" s="26">
        <v>375000</v>
      </c>
      <c r="L40" s="25"/>
      <c r="M40" s="26">
        <v>325000</v>
      </c>
      <c r="N40" s="1019"/>
      <c r="O40" s="1121">
        <f t="shared" ref="O40:O56" si="2">M40-K40</f>
        <v>-50000</v>
      </c>
      <c r="P40" s="1120">
        <f>50000+50000+50000</f>
        <v>150000</v>
      </c>
      <c r="Q40" s="1116">
        <f t="shared" ref="Q40:Q49" si="3">O40-K40</f>
        <v>-425000</v>
      </c>
    </row>
    <row r="41" spans="1:21" ht="16.5" customHeight="1">
      <c r="A41" s="28" t="s">
        <v>28</v>
      </c>
      <c r="B41" s="33"/>
      <c r="C41" s="29" t="s">
        <v>128</v>
      </c>
      <c r="D41" s="25"/>
      <c r="E41" s="26">
        <v>79991</v>
      </c>
      <c r="F41" s="27"/>
      <c r="G41" s="26">
        <v>6535</v>
      </c>
      <c r="H41" s="27"/>
      <c r="I41" s="26">
        <f t="shared" si="1"/>
        <v>408465</v>
      </c>
      <c r="J41" s="40"/>
      <c r="K41" s="26">
        <v>415000</v>
      </c>
      <c r="L41" s="25"/>
      <c r="M41" s="26">
        <v>250000</v>
      </c>
      <c r="N41" s="1019"/>
      <c r="O41" s="1121">
        <f t="shared" si="2"/>
        <v>-165000</v>
      </c>
      <c r="P41" s="1120">
        <f>50000+100000+30000+20000+30000+30000</f>
        <v>260000</v>
      </c>
      <c r="Q41" s="1116">
        <f t="shared" si="3"/>
        <v>-580000</v>
      </c>
    </row>
    <row r="42" spans="1:21" ht="16.5" customHeight="1">
      <c r="A42" s="28" t="s">
        <v>130</v>
      </c>
      <c r="B42" s="23"/>
      <c r="C42" s="29" t="s">
        <v>129</v>
      </c>
      <c r="D42" s="40"/>
      <c r="E42" s="26">
        <v>953021.8</v>
      </c>
      <c r="F42" s="40"/>
      <c r="G42" s="26">
        <v>486867.39</v>
      </c>
      <c r="H42" s="40"/>
      <c r="I42" s="26">
        <f t="shared" si="1"/>
        <v>1603532.6099999999</v>
      </c>
      <c r="J42" s="40"/>
      <c r="K42" s="26">
        <v>2090400</v>
      </c>
      <c r="L42" s="25"/>
      <c r="M42" s="26">
        <v>2300000</v>
      </c>
      <c r="N42" s="1019"/>
      <c r="O42" s="1121">
        <f t="shared" si="2"/>
        <v>209600</v>
      </c>
      <c r="P42" s="1120">
        <f>50000+50000+50000+63400+40000+20000</f>
        <v>273400</v>
      </c>
      <c r="Q42" s="1116">
        <f t="shared" si="3"/>
        <v>-1880800</v>
      </c>
    </row>
    <row r="43" spans="1:21" ht="16.5" customHeight="1">
      <c r="A43" s="28" t="s">
        <v>297</v>
      </c>
      <c r="B43" s="23"/>
      <c r="C43" s="29" t="s">
        <v>174</v>
      </c>
      <c r="D43" s="40"/>
      <c r="E43" s="26">
        <v>334953.62</v>
      </c>
      <c r="F43" s="47"/>
      <c r="G43" s="26">
        <v>72146.75</v>
      </c>
      <c r="H43" s="27"/>
      <c r="I43" s="26">
        <f>K43-G43</f>
        <v>1266853.25</v>
      </c>
      <c r="J43" s="40"/>
      <c r="K43" s="26">
        <v>1339000</v>
      </c>
      <c r="L43" s="25"/>
      <c r="M43" s="26">
        <v>789000</v>
      </c>
      <c r="N43" s="1019"/>
      <c r="O43" s="1121">
        <f t="shared" si="2"/>
        <v>-550000</v>
      </c>
      <c r="P43" s="1120">
        <f>350000+150000+50000</f>
        <v>550000</v>
      </c>
      <c r="Q43" s="1116">
        <f>O43-K43</f>
        <v>-1889000</v>
      </c>
    </row>
    <row r="44" spans="1:21" ht="16.5" customHeight="1">
      <c r="A44" s="28" t="s">
        <v>257</v>
      </c>
      <c r="B44" s="23"/>
      <c r="C44" s="48" t="s">
        <v>133</v>
      </c>
      <c r="D44" s="25"/>
      <c r="E44" s="26">
        <v>14013.71</v>
      </c>
      <c r="F44" s="25"/>
      <c r="G44" s="26">
        <v>4197</v>
      </c>
      <c r="H44" s="25"/>
      <c r="I44" s="26">
        <f t="shared" si="1"/>
        <v>13803</v>
      </c>
      <c r="J44" s="25"/>
      <c r="K44" s="26">
        <v>18000</v>
      </c>
      <c r="L44" s="25"/>
      <c r="M44" s="26">
        <v>18000</v>
      </c>
      <c r="N44" s="1019"/>
      <c r="O44" s="1121">
        <f t="shared" si="2"/>
        <v>0</v>
      </c>
      <c r="P44" s="1120"/>
      <c r="Q44" s="1116">
        <f t="shared" si="3"/>
        <v>-18000</v>
      </c>
    </row>
    <row r="45" spans="1:21" ht="16.5" customHeight="1">
      <c r="A45" s="28" t="s">
        <v>135</v>
      </c>
      <c r="B45" s="23"/>
      <c r="C45" s="29" t="s">
        <v>134</v>
      </c>
      <c r="D45" s="40"/>
      <c r="E45" s="26">
        <v>12324.04</v>
      </c>
      <c r="F45" s="25"/>
      <c r="G45" s="26">
        <v>8697</v>
      </c>
      <c r="H45" s="25"/>
      <c r="I45" s="26">
        <f t="shared" si="1"/>
        <v>48303</v>
      </c>
      <c r="J45" s="40"/>
      <c r="K45" s="26">
        <v>57000</v>
      </c>
      <c r="L45" s="25"/>
      <c r="M45" s="26">
        <v>57000</v>
      </c>
      <c r="N45" s="1019"/>
      <c r="O45" s="1121">
        <f t="shared" si="2"/>
        <v>0</v>
      </c>
      <c r="P45" s="1120"/>
      <c r="Q45" s="1116">
        <f t="shared" si="3"/>
        <v>-57000</v>
      </c>
    </row>
    <row r="46" spans="1:21" ht="16.5" customHeight="1">
      <c r="A46" s="28" t="s">
        <v>138</v>
      </c>
      <c r="B46" s="23"/>
      <c r="C46" s="29" t="s">
        <v>137</v>
      </c>
      <c r="D46" s="40"/>
      <c r="E46" s="26">
        <v>26552</v>
      </c>
      <c r="F46" s="47"/>
      <c r="G46" s="26">
        <v>300</v>
      </c>
      <c r="H46" s="27"/>
      <c r="I46" s="26">
        <f t="shared" si="1"/>
        <v>99700</v>
      </c>
      <c r="J46" s="40"/>
      <c r="K46" s="26">
        <v>100000</v>
      </c>
      <c r="L46" s="25"/>
      <c r="M46" s="26">
        <v>50000</v>
      </c>
      <c r="N46" s="1019"/>
      <c r="O46" s="1121">
        <f t="shared" si="2"/>
        <v>-50000</v>
      </c>
      <c r="P46" s="1120"/>
      <c r="Q46" s="1116">
        <f t="shared" si="3"/>
        <v>-150000</v>
      </c>
    </row>
    <row r="47" spans="1:21" ht="16.5" customHeight="1">
      <c r="A47" s="28" t="s">
        <v>142</v>
      </c>
      <c r="B47" s="23"/>
      <c r="C47" s="29" t="s">
        <v>141</v>
      </c>
      <c r="D47" s="40"/>
      <c r="E47" s="26">
        <v>38864</v>
      </c>
      <c r="F47" s="47"/>
      <c r="G47" s="26">
        <v>10435</v>
      </c>
      <c r="H47" s="27"/>
      <c r="I47" s="26">
        <f t="shared" si="1"/>
        <v>194565</v>
      </c>
      <c r="J47" s="40"/>
      <c r="K47" s="26">
        <v>205000</v>
      </c>
      <c r="L47" s="831"/>
      <c r="M47" s="26">
        <v>115000</v>
      </c>
      <c r="N47" s="1125"/>
      <c r="O47" s="1121">
        <f t="shared" si="2"/>
        <v>-90000</v>
      </c>
      <c r="P47" s="1120"/>
      <c r="Q47" s="1116">
        <f t="shared" si="3"/>
        <v>-295000</v>
      </c>
    </row>
    <row r="48" spans="1:21" ht="16.5" customHeight="1">
      <c r="A48" s="28" t="s">
        <v>493</v>
      </c>
      <c r="B48" s="23"/>
      <c r="C48" s="29" t="s">
        <v>176</v>
      </c>
      <c r="D48" s="40"/>
      <c r="E48" s="26">
        <v>152987.15</v>
      </c>
      <c r="F48" s="47"/>
      <c r="G48" s="26">
        <v>0</v>
      </c>
      <c r="H48" s="27"/>
      <c r="I48" s="26">
        <f t="shared" si="1"/>
        <v>360000</v>
      </c>
      <c r="J48" s="40"/>
      <c r="K48" s="26">
        <v>360000</v>
      </c>
      <c r="L48" s="25"/>
      <c r="M48" s="26">
        <v>200000</v>
      </c>
      <c r="N48" s="1019"/>
      <c r="O48" s="1121">
        <f t="shared" si="2"/>
        <v>-160000</v>
      </c>
      <c r="P48" s="1120"/>
      <c r="Q48" s="1116">
        <f t="shared" si="3"/>
        <v>-520000</v>
      </c>
    </row>
    <row r="49" spans="1:21" ht="16.5" customHeight="1">
      <c r="A49" s="28" t="s">
        <v>145</v>
      </c>
      <c r="B49" s="23"/>
      <c r="C49" s="29" t="s">
        <v>144</v>
      </c>
      <c r="D49" s="40"/>
      <c r="E49" s="26">
        <v>257764</v>
      </c>
      <c r="F49" s="47"/>
      <c r="G49" s="26">
        <v>122400</v>
      </c>
      <c r="H49" s="27"/>
      <c r="I49" s="26">
        <f t="shared" si="1"/>
        <v>562600</v>
      </c>
      <c r="J49" s="40"/>
      <c r="K49" s="26">
        <v>685000</v>
      </c>
      <c r="L49" s="25"/>
      <c r="M49" s="26">
        <v>685000</v>
      </c>
      <c r="N49" s="1019"/>
      <c r="O49" s="1121">
        <f t="shared" si="2"/>
        <v>0</v>
      </c>
      <c r="P49" s="1120"/>
      <c r="Q49" s="1116">
        <f t="shared" si="3"/>
        <v>-685000</v>
      </c>
    </row>
    <row r="50" spans="1:21" ht="16.5" customHeight="1">
      <c r="A50" s="28" t="s">
        <v>33</v>
      </c>
      <c r="B50" s="348"/>
      <c r="C50" s="29" t="s">
        <v>148</v>
      </c>
      <c r="D50" s="25"/>
      <c r="E50" s="26"/>
      <c r="F50" s="47"/>
      <c r="G50" s="26"/>
      <c r="H50" s="27"/>
      <c r="I50" s="26"/>
      <c r="J50" s="40"/>
      <c r="K50" s="26"/>
      <c r="L50" s="25"/>
      <c r="M50" s="26"/>
      <c r="N50" s="1019"/>
      <c r="O50" s="1021"/>
      <c r="P50" s="1120"/>
      <c r="Q50" s="1126"/>
    </row>
    <row r="51" spans="1:21" ht="16.5" customHeight="1">
      <c r="A51" s="28"/>
      <c r="B51" s="57" t="s">
        <v>342</v>
      </c>
      <c r="C51" s="29"/>
      <c r="D51" s="25"/>
      <c r="E51" s="26">
        <v>4633057.45</v>
      </c>
      <c r="F51" s="47"/>
      <c r="G51" s="26">
        <v>2503453.75</v>
      </c>
      <c r="H51" s="27"/>
      <c r="I51" s="26">
        <f t="shared" ref="I51:I56" si="4">K51-G51</f>
        <v>3260546.25</v>
      </c>
      <c r="J51" s="40"/>
      <c r="K51" s="26">
        <v>5764000</v>
      </c>
      <c r="L51" s="25"/>
      <c r="M51" s="26">
        <f>5794000+98000+30000</f>
        <v>5922000</v>
      </c>
      <c r="N51" s="1019"/>
      <c r="O51" s="1121">
        <f t="shared" si="2"/>
        <v>158000</v>
      </c>
      <c r="P51" s="1120"/>
      <c r="Q51" s="1116">
        <f>O51-K51</f>
        <v>-5606000</v>
      </c>
    </row>
    <row r="52" spans="1:21" ht="16.5" customHeight="1">
      <c r="A52" s="28"/>
      <c r="B52" s="57" t="s">
        <v>752</v>
      </c>
      <c r="C52" s="29"/>
      <c r="D52" s="25"/>
      <c r="E52" s="26">
        <v>54614</v>
      </c>
      <c r="F52" s="47"/>
      <c r="G52" s="26">
        <v>59101.85</v>
      </c>
      <c r="H52" s="27"/>
      <c r="I52" s="26">
        <f t="shared" si="4"/>
        <v>500898.15</v>
      </c>
      <c r="J52" s="40"/>
      <c r="K52" s="26">
        <v>560000</v>
      </c>
      <c r="L52" s="25"/>
      <c r="M52" s="26">
        <v>335000</v>
      </c>
      <c r="N52" s="1019"/>
      <c r="O52" s="1121">
        <f t="shared" si="2"/>
        <v>-225000</v>
      </c>
      <c r="P52" s="1120">
        <f>50000+150000+30000+30000+70000+70000</f>
        <v>400000</v>
      </c>
      <c r="Q52" s="1116"/>
    </row>
    <row r="53" spans="1:21" ht="16.5" customHeight="1">
      <c r="A53" s="28"/>
      <c r="B53" s="57" t="s">
        <v>510</v>
      </c>
      <c r="C53" s="29"/>
      <c r="D53" s="25"/>
      <c r="E53" s="26">
        <v>402200</v>
      </c>
      <c r="F53" s="47"/>
      <c r="G53" s="26">
        <v>168000</v>
      </c>
      <c r="H53" s="27"/>
      <c r="I53" s="26">
        <f t="shared" si="4"/>
        <v>832000</v>
      </c>
      <c r="J53" s="40"/>
      <c r="K53" s="26">
        <v>1000000</v>
      </c>
      <c r="L53" s="25"/>
      <c r="M53" s="26">
        <v>800000</v>
      </c>
      <c r="N53" s="1019"/>
      <c r="O53" s="1121">
        <f t="shared" si="2"/>
        <v>-200000</v>
      </c>
      <c r="P53" s="1120">
        <f>300000</f>
        <v>300000</v>
      </c>
      <c r="Q53" s="1127" t="s">
        <v>738</v>
      </c>
    </row>
    <row r="54" spans="1:21" ht="16.5" customHeight="1">
      <c r="A54" s="28"/>
      <c r="B54" s="57" t="s">
        <v>1117</v>
      </c>
      <c r="C54" s="29"/>
      <c r="D54" s="25"/>
      <c r="E54" s="26">
        <v>0</v>
      </c>
      <c r="F54" s="47"/>
      <c r="G54" s="26">
        <v>0</v>
      </c>
      <c r="H54" s="27"/>
      <c r="I54" s="26">
        <f t="shared" si="4"/>
        <v>0</v>
      </c>
      <c r="J54" s="40"/>
      <c r="K54" s="26">
        <v>0</v>
      </c>
      <c r="L54" s="25"/>
      <c r="M54" s="26">
        <v>0</v>
      </c>
      <c r="N54" s="1019"/>
      <c r="O54" s="1021">
        <v>0</v>
      </c>
      <c r="P54" s="1120"/>
      <c r="Q54" s="1127"/>
      <c r="T54" s="785"/>
      <c r="U54" s="785"/>
    </row>
    <row r="55" spans="1:21" ht="16.5" customHeight="1">
      <c r="A55" s="28"/>
      <c r="B55" s="57" t="s">
        <v>316</v>
      </c>
      <c r="C55" s="29"/>
      <c r="D55" s="25"/>
      <c r="E55" s="26">
        <v>0</v>
      </c>
      <c r="F55" s="47"/>
      <c r="G55" s="26">
        <v>0</v>
      </c>
      <c r="H55" s="27"/>
      <c r="I55" s="26">
        <f t="shared" si="4"/>
        <v>50000</v>
      </c>
      <c r="J55" s="40"/>
      <c r="K55" s="26">
        <v>50000</v>
      </c>
      <c r="L55" s="25"/>
      <c r="M55" s="26">
        <v>0</v>
      </c>
      <c r="N55" s="1019"/>
      <c r="O55" s="1121">
        <f t="shared" si="2"/>
        <v>-50000</v>
      </c>
      <c r="P55" s="1120"/>
      <c r="Q55" s="1127"/>
      <c r="T55" s="808"/>
      <c r="U55" s="808"/>
    </row>
    <row r="56" spans="1:21" ht="16.5" customHeight="1">
      <c r="A56" s="28"/>
      <c r="B56" s="57" t="s">
        <v>1164</v>
      </c>
      <c r="C56" s="29"/>
      <c r="D56" s="25"/>
      <c r="E56" s="26">
        <v>0</v>
      </c>
      <c r="F56" s="47"/>
      <c r="G56" s="26">
        <v>30430.400000000001</v>
      </c>
      <c r="H56" s="27"/>
      <c r="I56" s="26">
        <f t="shared" si="4"/>
        <v>49569.599999999999</v>
      </c>
      <c r="J56" s="40"/>
      <c r="K56" s="26">
        <v>80000</v>
      </c>
      <c r="L56" s="25"/>
      <c r="M56" s="26">
        <v>80000</v>
      </c>
      <c r="N56" s="1019"/>
      <c r="O56" s="1121">
        <f t="shared" si="2"/>
        <v>0</v>
      </c>
      <c r="P56" s="1120">
        <v>80000</v>
      </c>
      <c r="Q56" s="1127"/>
      <c r="T56" s="416"/>
      <c r="U56" s="416"/>
    </row>
    <row r="57" spans="1:21" ht="16.5" customHeight="1">
      <c r="A57" s="28"/>
      <c r="B57" s="57" t="s">
        <v>1187</v>
      </c>
      <c r="C57" s="29"/>
      <c r="D57" s="25"/>
      <c r="E57" s="26"/>
      <c r="F57" s="47"/>
      <c r="G57" s="26"/>
      <c r="H57" s="27"/>
      <c r="I57" s="26"/>
      <c r="J57" s="40"/>
      <c r="K57" s="26"/>
      <c r="L57" s="25"/>
      <c r="M57" s="26"/>
      <c r="N57" s="1019"/>
      <c r="O57" s="1021"/>
      <c r="P57" s="1120"/>
      <c r="Q57" s="1116">
        <f t="shared" ref="Q57:Q58" si="5">O57-K57</f>
        <v>0</v>
      </c>
      <c r="T57" s="813"/>
      <c r="U57" s="813"/>
    </row>
    <row r="58" spans="1:21" ht="16.5" customHeight="1">
      <c r="A58" s="28"/>
      <c r="B58" s="5" t="s">
        <v>1188</v>
      </c>
      <c r="C58" s="29"/>
      <c r="D58" s="25"/>
      <c r="E58" s="26">
        <v>0</v>
      </c>
      <c r="F58" s="47"/>
      <c r="G58" s="26">
        <v>0</v>
      </c>
      <c r="H58" s="27"/>
      <c r="I58" s="26">
        <f t="shared" ref="I58" si="6">K58-G58</f>
        <v>455000</v>
      </c>
      <c r="J58" s="40"/>
      <c r="K58" s="26">
        <v>455000</v>
      </c>
      <c r="L58" s="25"/>
      <c r="M58" s="26">
        <v>200000</v>
      </c>
      <c r="N58" s="1019"/>
      <c r="O58" s="1121">
        <f t="shared" ref="O58" si="7">M58-K58</f>
        <v>-255000</v>
      </c>
      <c r="P58" s="1120">
        <v>500000</v>
      </c>
      <c r="Q58" s="1116">
        <f t="shared" si="5"/>
        <v>-710000</v>
      </c>
      <c r="T58" s="813"/>
      <c r="U58" s="813"/>
    </row>
    <row r="59" spans="1:21" ht="16.5" customHeight="1">
      <c r="A59" s="28"/>
      <c r="B59" s="57" t="s">
        <v>346</v>
      </c>
      <c r="C59" s="29"/>
      <c r="D59" s="25"/>
      <c r="E59" s="26"/>
      <c r="F59" s="47"/>
      <c r="G59" s="26"/>
      <c r="H59" s="27"/>
      <c r="I59" s="26"/>
      <c r="J59" s="40"/>
      <c r="K59" s="26"/>
      <c r="L59" s="25"/>
      <c r="M59" s="26"/>
      <c r="N59" s="1019"/>
      <c r="O59" s="1021"/>
      <c r="P59" s="1120"/>
      <c r="Q59" s="1116">
        <f t="shared" ref="Q59" si="8">O59-K59</f>
        <v>0</v>
      </c>
    </row>
    <row r="60" spans="1:21" ht="16.5" customHeight="1">
      <c r="A60" s="28"/>
      <c r="B60" s="5" t="s">
        <v>372</v>
      </c>
      <c r="C60" s="29"/>
      <c r="D60" s="25"/>
      <c r="E60" s="26"/>
      <c r="F60" s="47"/>
      <c r="G60" s="26"/>
      <c r="H60" s="27"/>
      <c r="I60" s="26"/>
      <c r="J60" s="40"/>
      <c r="K60" s="26"/>
      <c r="L60" s="25"/>
      <c r="M60" s="26"/>
      <c r="N60" s="1019"/>
      <c r="O60" s="1021"/>
      <c r="P60" s="1120"/>
      <c r="Q60" s="1116">
        <f t="shared" ref="Q60:Q81" si="9">O60-K60</f>
        <v>0</v>
      </c>
    </row>
    <row r="61" spans="1:21" ht="18" customHeight="1">
      <c r="A61" s="28"/>
      <c r="B61" s="5" t="s">
        <v>373</v>
      </c>
      <c r="C61" s="29"/>
      <c r="D61" s="25"/>
      <c r="E61" s="26">
        <v>80038.84</v>
      </c>
      <c r="F61" s="47"/>
      <c r="G61" s="26">
        <v>0</v>
      </c>
      <c r="H61" s="27"/>
      <c r="I61" s="26">
        <f>K61-G61</f>
        <v>100000</v>
      </c>
      <c r="J61" s="40"/>
      <c r="K61" s="26">
        <v>100000</v>
      </c>
      <c r="L61" s="25"/>
      <c r="M61" s="26">
        <v>100000</v>
      </c>
      <c r="N61" s="1019"/>
      <c r="O61" s="1121">
        <f t="shared" ref="O61:O62" si="10">M61-K61</f>
        <v>0</v>
      </c>
      <c r="P61" s="1120"/>
      <c r="Q61" s="1116">
        <f t="shared" si="9"/>
        <v>-100000</v>
      </c>
    </row>
    <row r="62" spans="1:21" ht="16.5" customHeight="1">
      <c r="A62" s="28"/>
      <c r="B62" s="5" t="s">
        <v>759</v>
      </c>
      <c r="C62" s="29"/>
      <c r="D62" s="25"/>
      <c r="E62" s="26">
        <v>0</v>
      </c>
      <c r="F62" s="47"/>
      <c r="G62" s="26">
        <v>0</v>
      </c>
      <c r="H62" s="27"/>
      <c r="I62" s="26">
        <f>K62-G62</f>
        <v>60000</v>
      </c>
      <c r="J62" s="40"/>
      <c r="K62" s="26">
        <v>60000</v>
      </c>
      <c r="L62" s="25"/>
      <c r="M62" s="26">
        <v>50000</v>
      </c>
      <c r="N62" s="1019"/>
      <c r="O62" s="1121">
        <f t="shared" si="10"/>
        <v>-10000</v>
      </c>
      <c r="P62" s="1120"/>
      <c r="Q62" s="1116">
        <f>O62-K62</f>
        <v>-70000</v>
      </c>
    </row>
    <row r="63" spans="1:21" ht="16.5" customHeight="1">
      <c r="A63" s="28"/>
      <c r="B63" s="5" t="s">
        <v>374</v>
      </c>
      <c r="C63" s="29"/>
      <c r="D63" s="25"/>
      <c r="E63" s="26"/>
      <c r="F63" s="47"/>
      <c r="G63" s="26"/>
      <c r="H63" s="27"/>
      <c r="I63" s="26"/>
      <c r="J63" s="40"/>
      <c r="K63" s="26"/>
      <c r="L63" s="25"/>
      <c r="M63" s="26"/>
      <c r="N63" s="1019"/>
      <c r="O63" s="1021"/>
      <c r="P63" s="1120"/>
      <c r="Q63" s="1116">
        <f t="shared" si="9"/>
        <v>0</v>
      </c>
    </row>
    <row r="64" spans="1:21" ht="15.75" customHeight="1">
      <c r="A64" s="58"/>
      <c r="B64" s="284" t="s">
        <v>375</v>
      </c>
      <c r="C64" s="34"/>
      <c r="D64" s="30"/>
      <c r="E64" s="31"/>
      <c r="F64" s="59"/>
      <c r="G64" s="31"/>
      <c r="H64" s="60"/>
      <c r="I64" s="31"/>
      <c r="J64" s="61"/>
      <c r="K64" s="31"/>
      <c r="L64" s="30"/>
      <c r="M64" s="31"/>
      <c r="N64" s="1019"/>
      <c r="O64" s="1021"/>
      <c r="P64" s="1120"/>
      <c r="Q64" s="1116">
        <f t="shared" si="9"/>
        <v>0</v>
      </c>
    </row>
    <row r="65" spans="1:21" s="347" customFormat="1" ht="24" customHeight="1">
      <c r="A65" s="28"/>
      <c r="B65" s="901" t="s">
        <v>376</v>
      </c>
      <c r="C65" s="29"/>
      <c r="D65" s="25"/>
      <c r="E65" s="26"/>
      <c r="F65" s="47"/>
      <c r="G65" s="26"/>
      <c r="H65" s="27"/>
      <c r="I65" s="26"/>
      <c r="J65" s="40"/>
      <c r="K65" s="26"/>
      <c r="L65" s="25"/>
      <c r="M65" s="43"/>
      <c r="N65" s="1019"/>
      <c r="O65" s="1021"/>
      <c r="P65" s="1120"/>
      <c r="Q65" s="1116">
        <f t="shared" si="9"/>
        <v>0</v>
      </c>
      <c r="R65" s="1011"/>
      <c r="S65" s="1011"/>
    </row>
    <row r="66" spans="1:21" s="347" customFormat="1" ht="16.5" customHeight="1">
      <c r="A66" s="28"/>
      <c r="B66" s="901" t="s">
        <v>377</v>
      </c>
      <c r="C66" s="29"/>
      <c r="D66" s="25"/>
      <c r="E66" s="26">
        <v>204068.41</v>
      </c>
      <c r="F66" s="47"/>
      <c r="G66" s="26">
        <v>0</v>
      </c>
      <c r="H66" s="27"/>
      <c r="I66" s="26">
        <f>K66-G66</f>
        <v>400000</v>
      </c>
      <c r="J66" s="40"/>
      <c r="K66" s="26">
        <v>400000</v>
      </c>
      <c r="L66" s="25"/>
      <c r="M66" s="26">
        <v>250000</v>
      </c>
      <c r="N66" s="1019"/>
      <c r="O66" s="1121">
        <f t="shared" ref="O66" si="11">M66-K66</f>
        <v>-150000</v>
      </c>
      <c r="P66" s="1120"/>
      <c r="Q66" s="1116">
        <f t="shared" si="9"/>
        <v>-550000</v>
      </c>
      <c r="R66" s="1011"/>
      <c r="S66" s="1011"/>
    </row>
    <row r="67" spans="1:21" ht="16.5" customHeight="1">
      <c r="A67" s="28"/>
      <c r="B67" s="901" t="s">
        <v>357</v>
      </c>
      <c r="C67" s="29"/>
      <c r="D67" s="25"/>
      <c r="E67" s="26">
        <v>6434.8</v>
      </c>
      <c r="F67" s="47"/>
      <c r="G67" s="26">
        <v>4900</v>
      </c>
      <c r="H67" s="27"/>
      <c r="I67" s="26">
        <f>K67-G67</f>
        <v>45100</v>
      </c>
      <c r="J67" s="40"/>
      <c r="K67" s="26">
        <v>50000</v>
      </c>
      <c r="L67" s="25"/>
      <c r="M67" s="26">
        <v>0</v>
      </c>
      <c r="N67" s="1019"/>
      <c r="O67" s="1121">
        <f t="shared" ref="O67" si="12">M67-K67</f>
        <v>-50000</v>
      </c>
      <c r="P67" s="1120"/>
      <c r="Q67" s="1116">
        <f t="shared" ref="Q67" si="13">O67-K67</f>
        <v>-100000</v>
      </c>
      <c r="T67" s="755"/>
      <c r="U67" s="755"/>
    </row>
    <row r="68" spans="1:21" s="347" customFormat="1" ht="16.5" customHeight="1">
      <c r="A68" s="28"/>
      <c r="B68" s="901" t="s">
        <v>378</v>
      </c>
      <c r="C68" s="29"/>
      <c r="D68" s="25"/>
      <c r="E68" s="26"/>
      <c r="F68" s="47"/>
      <c r="G68" s="26"/>
      <c r="H68" s="27"/>
      <c r="I68" s="26"/>
      <c r="J68" s="40"/>
      <c r="K68" s="26"/>
      <c r="L68" s="25"/>
      <c r="M68" s="26"/>
      <c r="N68" s="1019"/>
      <c r="O68" s="1021"/>
      <c r="P68" s="1120"/>
      <c r="Q68" s="1116">
        <f t="shared" si="9"/>
        <v>0</v>
      </c>
      <c r="R68" s="1011"/>
      <c r="S68" s="1011"/>
    </row>
    <row r="69" spans="1:21" s="347" customFormat="1" ht="16.5" customHeight="1">
      <c r="A69" s="28"/>
      <c r="B69" s="901" t="s">
        <v>379</v>
      </c>
      <c r="C69" s="29"/>
      <c r="D69" s="25"/>
      <c r="E69" s="26">
        <v>7400</v>
      </c>
      <c r="F69" s="47"/>
      <c r="G69" s="26">
        <v>0</v>
      </c>
      <c r="H69" s="27"/>
      <c r="I69" s="26">
        <f>K69-G69</f>
        <v>40000</v>
      </c>
      <c r="J69" s="40"/>
      <c r="K69" s="26">
        <v>40000</v>
      </c>
      <c r="L69" s="25"/>
      <c r="M69" s="26">
        <v>0</v>
      </c>
      <c r="N69" s="1019"/>
      <c r="O69" s="1121">
        <f t="shared" ref="O69:O71" si="14">M69-K69</f>
        <v>-40000</v>
      </c>
      <c r="P69" s="1120"/>
      <c r="Q69" s="1116">
        <f t="shared" si="9"/>
        <v>-80000</v>
      </c>
      <c r="R69" s="1011"/>
      <c r="S69" s="1011"/>
    </row>
    <row r="70" spans="1:21" s="347" customFormat="1" ht="16.5" customHeight="1">
      <c r="A70" s="28"/>
      <c r="B70" s="901" t="s">
        <v>358</v>
      </c>
      <c r="C70" s="29"/>
      <c r="D70" s="25"/>
      <c r="E70" s="26">
        <v>190239.6</v>
      </c>
      <c r="F70" s="47"/>
      <c r="G70" s="26">
        <v>30783</v>
      </c>
      <c r="H70" s="27"/>
      <c r="I70" s="26">
        <f>K70-G70</f>
        <v>469217</v>
      </c>
      <c r="J70" s="40"/>
      <c r="K70" s="26">
        <v>500000</v>
      </c>
      <c r="L70" s="25"/>
      <c r="M70" s="26">
        <v>300000</v>
      </c>
      <c r="N70" s="1019"/>
      <c r="O70" s="1121">
        <f t="shared" si="14"/>
        <v>-200000</v>
      </c>
      <c r="P70" s="1120"/>
      <c r="Q70" s="1116">
        <f t="shared" si="9"/>
        <v>-700000</v>
      </c>
      <c r="R70" s="1011"/>
      <c r="S70" s="1011"/>
    </row>
    <row r="71" spans="1:21" s="347" customFormat="1" ht="16.5" customHeight="1">
      <c r="A71" s="28"/>
      <c r="B71" s="901" t="s">
        <v>359</v>
      </c>
      <c r="C71" s="29"/>
      <c r="D71" s="25"/>
      <c r="E71" s="26">
        <v>35364.660000000003</v>
      </c>
      <c r="F71" s="47"/>
      <c r="G71" s="26">
        <v>0</v>
      </c>
      <c r="H71" s="27"/>
      <c r="I71" s="26">
        <f>K71-G71</f>
        <v>100000</v>
      </c>
      <c r="J71" s="40"/>
      <c r="K71" s="26">
        <v>100000</v>
      </c>
      <c r="L71" s="25"/>
      <c r="M71" s="26">
        <v>100000</v>
      </c>
      <c r="N71" s="1019"/>
      <c r="O71" s="1121">
        <f t="shared" si="14"/>
        <v>0</v>
      </c>
      <c r="P71" s="1120"/>
      <c r="Q71" s="1116">
        <f t="shared" si="9"/>
        <v>-100000</v>
      </c>
      <c r="R71" s="1011"/>
      <c r="S71" s="1011"/>
    </row>
    <row r="72" spans="1:21" s="347" customFormat="1" ht="16.5" customHeight="1">
      <c r="A72" s="28"/>
      <c r="B72" s="901" t="s">
        <v>380</v>
      </c>
      <c r="C72" s="29"/>
      <c r="D72" s="25"/>
      <c r="E72" s="26"/>
      <c r="F72" s="47"/>
      <c r="G72" s="26"/>
      <c r="H72" s="27"/>
      <c r="I72" s="26"/>
      <c r="J72" s="40"/>
      <c r="K72" s="26"/>
      <c r="L72" s="25"/>
      <c r="M72" s="26"/>
      <c r="N72" s="1019"/>
      <c r="O72" s="1021"/>
      <c r="P72" s="1120"/>
      <c r="Q72" s="1116">
        <f t="shared" si="9"/>
        <v>0</v>
      </c>
      <c r="R72" s="1011"/>
      <c r="S72" s="1011"/>
    </row>
    <row r="73" spans="1:21" s="347" customFormat="1" ht="16.5" customHeight="1">
      <c r="A73" s="28"/>
      <c r="B73" s="901" t="s">
        <v>381</v>
      </c>
      <c r="C73" s="29"/>
      <c r="D73" s="25"/>
      <c r="E73" s="26">
        <v>0</v>
      </c>
      <c r="F73" s="47"/>
      <c r="G73" s="26">
        <v>0</v>
      </c>
      <c r="H73" s="27"/>
      <c r="I73" s="26">
        <f>K73-G73</f>
        <v>100000</v>
      </c>
      <c r="J73" s="40"/>
      <c r="K73" s="26">
        <v>100000</v>
      </c>
      <c r="L73" s="25"/>
      <c r="M73" s="26">
        <v>0</v>
      </c>
      <c r="N73" s="1019"/>
      <c r="O73" s="1121">
        <f t="shared" ref="O73" si="15">M73-K73</f>
        <v>-100000</v>
      </c>
      <c r="P73" s="1120"/>
      <c r="Q73" s="1116">
        <f t="shared" si="9"/>
        <v>-200000</v>
      </c>
      <c r="R73" s="1011"/>
      <c r="S73" s="1011"/>
    </row>
    <row r="74" spans="1:21" s="347" customFormat="1" ht="16.5" customHeight="1">
      <c r="A74" s="28"/>
      <c r="B74" s="901" t="s">
        <v>382</v>
      </c>
      <c r="C74" s="29"/>
      <c r="D74" s="25"/>
      <c r="E74" s="26"/>
      <c r="F74" s="47"/>
      <c r="G74" s="26"/>
      <c r="H74" s="27"/>
      <c r="I74" s="26"/>
      <c r="J74" s="40"/>
      <c r="K74" s="26"/>
      <c r="L74" s="25"/>
      <c r="M74" s="26"/>
      <c r="N74" s="1019"/>
      <c r="O74" s="1021"/>
      <c r="P74" s="1120"/>
      <c r="Q74" s="1116">
        <f t="shared" si="9"/>
        <v>0</v>
      </c>
      <c r="R74" s="1011"/>
      <c r="S74" s="1011"/>
    </row>
    <row r="75" spans="1:21" s="347" customFormat="1" ht="16.5" customHeight="1">
      <c r="A75" s="28"/>
      <c r="B75" s="901" t="s">
        <v>383</v>
      </c>
      <c r="C75" s="29"/>
      <c r="D75" s="25"/>
      <c r="E75" s="26">
        <v>120000</v>
      </c>
      <c r="F75" s="47"/>
      <c r="G75" s="26">
        <v>27000</v>
      </c>
      <c r="H75" s="27"/>
      <c r="I75" s="26">
        <f>K75-G75</f>
        <v>173000</v>
      </c>
      <c r="J75" s="40"/>
      <c r="K75" s="26">
        <v>200000</v>
      </c>
      <c r="L75" s="25"/>
      <c r="M75" s="26">
        <v>200000</v>
      </c>
      <c r="N75" s="1019"/>
      <c r="O75" s="1121">
        <f t="shared" ref="O75" si="16">M75-K75</f>
        <v>0</v>
      </c>
      <c r="P75" s="1120"/>
      <c r="Q75" s="1116">
        <f t="shared" si="9"/>
        <v>-200000</v>
      </c>
      <c r="R75" s="1011"/>
      <c r="S75" s="1011"/>
    </row>
    <row r="76" spans="1:21" ht="16.5" customHeight="1">
      <c r="A76" s="28"/>
      <c r="B76" s="901" t="s">
        <v>735</v>
      </c>
      <c r="C76" s="29"/>
      <c r="D76" s="25"/>
      <c r="E76" s="26"/>
      <c r="F76" s="47"/>
      <c r="G76" s="26"/>
      <c r="H76" s="27"/>
      <c r="I76" s="26"/>
      <c r="J76" s="40"/>
      <c r="K76" s="26"/>
      <c r="L76" s="25"/>
      <c r="M76" s="26"/>
      <c r="N76" s="1019"/>
      <c r="O76" s="1021"/>
      <c r="P76" s="1120"/>
      <c r="Q76" s="1116">
        <f t="shared" si="9"/>
        <v>0</v>
      </c>
    </row>
    <row r="77" spans="1:21" ht="16.5" customHeight="1">
      <c r="A77" s="28"/>
      <c r="B77" s="901" t="s">
        <v>736</v>
      </c>
      <c r="C77" s="29"/>
      <c r="D77" s="25"/>
      <c r="E77" s="26">
        <v>20600</v>
      </c>
      <c r="F77" s="47"/>
      <c r="G77" s="26">
        <v>0</v>
      </c>
      <c r="H77" s="27"/>
      <c r="I77" s="26">
        <f t="shared" ref="I77:I78" si="17">K77-G77</f>
        <v>40000</v>
      </c>
      <c r="J77" s="40"/>
      <c r="K77" s="26">
        <v>40000</v>
      </c>
      <c r="L77" s="25"/>
      <c r="M77" s="26">
        <v>0</v>
      </c>
      <c r="N77" s="1019"/>
      <c r="O77" s="1121">
        <f t="shared" ref="O77:O78" si="18">M77-K77</f>
        <v>-40000</v>
      </c>
      <c r="P77" s="1120"/>
      <c r="Q77" s="1116">
        <f t="shared" si="9"/>
        <v>-80000</v>
      </c>
    </row>
    <row r="78" spans="1:21" ht="16.5" customHeight="1">
      <c r="A78" s="28"/>
      <c r="B78" s="901" t="s">
        <v>737</v>
      </c>
      <c r="C78" s="29"/>
      <c r="D78" s="25"/>
      <c r="E78" s="26">
        <v>186688</v>
      </c>
      <c r="F78" s="47"/>
      <c r="G78" s="26">
        <v>0</v>
      </c>
      <c r="H78" s="27"/>
      <c r="I78" s="26">
        <f t="shared" si="17"/>
        <v>200000</v>
      </c>
      <c r="J78" s="40"/>
      <c r="K78" s="26">
        <v>200000</v>
      </c>
      <c r="L78" s="25"/>
      <c r="M78" s="26">
        <v>200000</v>
      </c>
      <c r="N78" s="1019"/>
      <c r="O78" s="1121">
        <f t="shared" si="18"/>
        <v>0</v>
      </c>
      <c r="P78" s="1120"/>
      <c r="Q78" s="1116">
        <f t="shared" si="9"/>
        <v>-200000</v>
      </c>
    </row>
    <row r="79" spans="1:21" ht="15" customHeight="1">
      <c r="A79" s="28"/>
      <c r="B79" s="901" t="s">
        <v>360</v>
      </c>
      <c r="C79" s="29"/>
      <c r="D79" s="25"/>
      <c r="E79" s="26">
        <v>309575</v>
      </c>
      <c r="F79" s="47"/>
      <c r="G79" s="26">
        <v>159820</v>
      </c>
      <c r="H79" s="27"/>
      <c r="I79" s="26">
        <f>K79-G79</f>
        <v>240180</v>
      </c>
      <c r="J79" s="40"/>
      <c r="K79" s="26">
        <v>400000</v>
      </c>
      <c r="L79" s="25"/>
      <c r="M79" s="26">
        <v>400000</v>
      </c>
      <c r="N79" s="1019"/>
      <c r="O79" s="1121">
        <f t="shared" ref="O79:O81" si="19">M79-K79</f>
        <v>0</v>
      </c>
      <c r="P79" s="1120"/>
      <c r="Q79" s="1116">
        <f>O79-K79</f>
        <v>-400000</v>
      </c>
    </row>
    <row r="80" spans="1:21" ht="10.5" customHeight="1">
      <c r="A80" s="28"/>
      <c r="B80" s="901" t="s">
        <v>388</v>
      </c>
      <c r="C80" s="29"/>
      <c r="D80" s="25"/>
      <c r="E80" s="26">
        <v>22000</v>
      </c>
      <c r="F80" s="47"/>
      <c r="G80" s="26">
        <v>0</v>
      </c>
      <c r="H80" s="27"/>
      <c r="I80" s="26">
        <f>K80-G80</f>
        <v>25000</v>
      </c>
      <c r="J80" s="40"/>
      <c r="K80" s="26">
        <v>25000</v>
      </c>
      <c r="L80" s="25"/>
      <c r="M80" s="26">
        <v>25000</v>
      </c>
      <c r="N80" s="1019"/>
      <c r="O80" s="1121">
        <f t="shared" si="19"/>
        <v>0</v>
      </c>
      <c r="P80" s="1120"/>
      <c r="Q80" s="1116">
        <f t="shared" si="9"/>
        <v>-25000</v>
      </c>
    </row>
    <row r="81" spans="1:21" ht="12" customHeight="1">
      <c r="A81" s="28" t="s">
        <v>54</v>
      </c>
      <c r="B81" s="63" t="s">
        <v>371</v>
      </c>
      <c r="C81" s="29"/>
      <c r="D81" s="25"/>
      <c r="E81" s="26">
        <v>163748.54999999999</v>
      </c>
      <c r="F81" s="47"/>
      <c r="G81" s="26">
        <v>13640</v>
      </c>
      <c r="H81" s="27"/>
      <c r="I81" s="26">
        <f t="shared" ref="I81" si="20">K81-G81</f>
        <v>386360</v>
      </c>
      <c r="J81" s="40"/>
      <c r="K81" s="31">
        <v>400000</v>
      </c>
      <c r="L81" s="30"/>
      <c r="M81" s="31">
        <v>250000</v>
      </c>
      <c r="N81" s="1019"/>
      <c r="O81" s="1121">
        <f t="shared" si="19"/>
        <v>-150000</v>
      </c>
      <c r="P81" s="1120"/>
      <c r="Q81" s="1116">
        <f t="shared" si="9"/>
        <v>-550000</v>
      </c>
      <c r="T81" s="354"/>
      <c r="U81" s="354"/>
    </row>
    <row r="82" spans="1:21" ht="16.5" customHeight="1">
      <c r="A82" s="1251" t="s">
        <v>13</v>
      </c>
      <c r="B82" s="1252"/>
      <c r="C82" s="29"/>
      <c r="D82" s="35" t="s">
        <v>15</v>
      </c>
      <c r="E82" s="36">
        <f>SUM(E39:E81)</f>
        <v>8364938.629999999</v>
      </c>
      <c r="F82" s="35" t="s">
        <v>15</v>
      </c>
      <c r="G82" s="36">
        <f>SUM(G39:G81)</f>
        <v>3813587.14</v>
      </c>
      <c r="H82" s="35" t="s">
        <v>15</v>
      </c>
      <c r="I82" s="36">
        <f>SUM(I39:I81)</f>
        <v>12604812.859999999</v>
      </c>
      <c r="J82" s="72" t="s">
        <v>15</v>
      </c>
      <c r="K82" s="36">
        <f>SUM(K39:K81)</f>
        <v>16418400</v>
      </c>
      <c r="L82" s="35" t="s">
        <v>15</v>
      </c>
      <c r="M82" s="36">
        <f>SUM(M39:M81)</f>
        <v>14201000</v>
      </c>
      <c r="N82" s="1022" t="s">
        <v>15</v>
      </c>
      <c r="O82" s="1122">
        <f>SUM(O39:O81)</f>
        <v>-2217400</v>
      </c>
      <c r="P82" s="1122">
        <f>SUM(P39:P81)</f>
        <v>2563400</v>
      </c>
      <c r="Q82" s="919">
        <f>SUM(Q39:Q80)</f>
        <v>-15920800</v>
      </c>
    </row>
    <row r="83" spans="1:21" ht="16.5" customHeight="1">
      <c r="A83" s="81" t="s">
        <v>283</v>
      </c>
      <c r="B83" s="349"/>
      <c r="C83" s="29"/>
      <c r="D83" s="67"/>
      <c r="E83" s="43"/>
      <c r="F83" s="44"/>
      <c r="G83" s="44"/>
      <c r="H83" s="45"/>
      <c r="I83" s="43"/>
      <c r="J83" s="67"/>
      <c r="K83" s="43"/>
      <c r="L83" s="67"/>
      <c r="M83" s="43"/>
      <c r="N83" s="1027"/>
      <c r="O83" s="1124"/>
      <c r="P83" s="1120"/>
    </row>
    <row r="84" spans="1:21" ht="12" customHeight="1">
      <c r="A84" s="68" t="s">
        <v>51</v>
      </c>
      <c r="B84" s="348"/>
      <c r="C84" s="29" t="s">
        <v>149</v>
      </c>
      <c r="D84" s="25" t="s">
        <v>15</v>
      </c>
      <c r="E84" s="26"/>
      <c r="F84" s="25" t="s">
        <v>15</v>
      </c>
      <c r="G84" s="353"/>
      <c r="H84" s="25" t="s">
        <v>15</v>
      </c>
      <c r="I84" s="26">
        <f>K84-G84</f>
        <v>0</v>
      </c>
      <c r="J84" s="25" t="s">
        <v>15</v>
      </c>
      <c r="K84" s="69">
        <v>0</v>
      </c>
      <c r="L84" s="25" t="s">
        <v>15</v>
      </c>
      <c r="M84" s="69"/>
      <c r="N84" s="1016" t="s">
        <v>15</v>
      </c>
      <c r="O84" s="1128">
        <v>0</v>
      </c>
      <c r="P84" s="1129"/>
      <c r="Q84" s="1116"/>
    </row>
    <row r="85" spans="1:21" ht="12" customHeight="1">
      <c r="A85" s="68" t="s">
        <v>1015</v>
      </c>
      <c r="B85" s="814"/>
      <c r="C85" s="29"/>
      <c r="D85" s="25"/>
      <c r="E85" s="26">
        <v>0</v>
      </c>
      <c r="F85" s="40"/>
      <c r="G85" s="815">
        <v>0</v>
      </c>
      <c r="H85" s="25"/>
      <c r="I85" s="26">
        <f t="shared" ref="I85:I95" si="21">K85-G85</f>
        <v>300000</v>
      </c>
      <c r="J85" s="25"/>
      <c r="K85" s="69">
        <v>300000</v>
      </c>
      <c r="L85" s="25"/>
      <c r="M85" s="69"/>
      <c r="N85" s="1016"/>
      <c r="O85" s="1128">
        <v>0</v>
      </c>
      <c r="P85" s="1129"/>
      <c r="Q85" s="1116"/>
      <c r="T85" s="813"/>
      <c r="U85" s="813"/>
    </row>
    <row r="86" spans="1:21" ht="13.5" customHeight="1">
      <c r="A86" s="68" t="s">
        <v>153</v>
      </c>
      <c r="B86" s="348"/>
      <c r="C86" s="29" t="s">
        <v>151</v>
      </c>
      <c r="D86" s="71"/>
      <c r="E86" s="26"/>
      <c r="F86" s="353"/>
      <c r="G86" s="353"/>
      <c r="H86" s="352"/>
      <c r="I86" s="26">
        <f t="shared" si="21"/>
        <v>0</v>
      </c>
      <c r="J86" s="71"/>
      <c r="K86" s="69"/>
      <c r="L86" s="71"/>
      <c r="M86" s="69"/>
      <c r="N86" s="1022"/>
      <c r="O86" s="1130"/>
      <c r="P86" s="1129"/>
      <c r="Q86" s="922"/>
      <c r="R86" s="1126"/>
    </row>
    <row r="87" spans="1:21" ht="12" customHeight="1">
      <c r="A87" s="68" t="s">
        <v>393</v>
      </c>
      <c r="B87" s="756"/>
      <c r="C87" s="29"/>
      <c r="D87" s="71"/>
      <c r="E87" s="26">
        <v>46500</v>
      </c>
      <c r="F87" s="759"/>
      <c r="G87" s="759">
        <v>0</v>
      </c>
      <c r="H87" s="758"/>
      <c r="I87" s="26">
        <f t="shared" si="21"/>
        <v>50000</v>
      </c>
      <c r="J87" s="71"/>
      <c r="K87" s="69">
        <v>50000</v>
      </c>
      <c r="L87" s="71"/>
      <c r="M87" s="69"/>
      <c r="N87" s="1022"/>
      <c r="O87" s="1130">
        <v>0</v>
      </c>
      <c r="P87" s="1129"/>
      <c r="Q87" s="922" t="s">
        <v>758</v>
      </c>
      <c r="R87" s="1126"/>
      <c r="T87" s="755"/>
      <c r="U87" s="755"/>
    </row>
    <row r="88" spans="1:21" ht="12" customHeight="1">
      <c r="A88" s="68" t="s">
        <v>1167</v>
      </c>
      <c r="B88" s="807"/>
      <c r="C88" s="29"/>
      <c r="D88" s="71"/>
      <c r="E88" s="26">
        <v>0</v>
      </c>
      <c r="F88" s="811"/>
      <c r="G88" s="811">
        <v>0</v>
      </c>
      <c r="H88" s="810"/>
      <c r="I88" s="26">
        <f t="shared" si="21"/>
        <v>80000</v>
      </c>
      <c r="J88" s="71"/>
      <c r="K88" s="69">
        <v>80000</v>
      </c>
      <c r="L88" s="71"/>
      <c r="M88" s="69"/>
      <c r="N88" s="1022"/>
      <c r="O88" s="1130">
        <v>0</v>
      </c>
      <c r="P88" s="1129"/>
      <c r="Q88" s="922" t="s">
        <v>758</v>
      </c>
      <c r="R88" s="1126"/>
      <c r="T88" s="808"/>
      <c r="U88" s="808"/>
    </row>
    <row r="89" spans="1:21" ht="12" customHeight="1">
      <c r="A89" s="68" t="s">
        <v>1166</v>
      </c>
      <c r="B89" s="348"/>
      <c r="C89" s="29"/>
      <c r="D89" s="71"/>
      <c r="E89" s="26">
        <v>0</v>
      </c>
      <c r="F89" s="353"/>
      <c r="G89" s="353">
        <v>0</v>
      </c>
      <c r="H89" s="352"/>
      <c r="I89" s="26">
        <f t="shared" si="21"/>
        <v>400000</v>
      </c>
      <c r="J89" s="71"/>
      <c r="K89" s="69">
        <v>400000</v>
      </c>
      <c r="L89" s="71"/>
      <c r="M89" s="69"/>
      <c r="N89" s="1022"/>
      <c r="O89" s="1130">
        <v>0</v>
      </c>
      <c r="P89" s="1129"/>
      <c r="Q89" s="922" t="s">
        <v>758</v>
      </c>
      <c r="R89" s="1126"/>
    </row>
    <row r="90" spans="1:21" ht="12" customHeight="1">
      <c r="A90" s="68" t="s">
        <v>1186</v>
      </c>
      <c r="B90" s="756"/>
      <c r="C90" s="29"/>
      <c r="D90" s="25"/>
      <c r="E90" s="26">
        <v>0</v>
      </c>
      <c r="F90" s="40"/>
      <c r="G90" s="759">
        <v>0</v>
      </c>
      <c r="H90" s="25"/>
      <c r="I90" s="26">
        <f t="shared" si="21"/>
        <v>160024</v>
      </c>
      <c r="J90" s="25"/>
      <c r="K90" s="69">
        <v>160024</v>
      </c>
      <c r="L90" s="25"/>
      <c r="M90" s="69"/>
      <c r="N90" s="1016"/>
      <c r="O90" s="1128">
        <v>0</v>
      </c>
      <c r="P90" s="1129"/>
      <c r="Q90" s="1116"/>
      <c r="T90" s="755"/>
      <c r="U90" s="755"/>
    </row>
    <row r="91" spans="1:21" ht="12.75" customHeight="1">
      <c r="A91" s="68" t="s">
        <v>58</v>
      </c>
      <c r="B91" s="348"/>
      <c r="C91" s="29" t="s">
        <v>155</v>
      </c>
      <c r="D91" s="71"/>
      <c r="E91" s="26"/>
      <c r="F91" s="353"/>
      <c r="G91" s="353"/>
      <c r="H91" s="352"/>
      <c r="I91" s="26">
        <f t="shared" si="21"/>
        <v>0</v>
      </c>
      <c r="J91" s="71"/>
      <c r="K91" s="69"/>
      <c r="L91" s="71"/>
      <c r="M91" s="69"/>
      <c r="N91" s="1022"/>
      <c r="O91" s="1130"/>
      <c r="P91" s="1129"/>
      <c r="Q91" s="922"/>
      <c r="R91" s="1126"/>
    </row>
    <row r="92" spans="1:21" ht="12.75" customHeight="1">
      <c r="A92" s="68" t="s">
        <v>1165</v>
      </c>
      <c r="B92" s="756"/>
      <c r="C92" s="29"/>
      <c r="D92" s="71"/>
      <c r="E92" s="26">
        <v>38700</v>
      </c>
      <c r="F92" s="759"/>
      <c r="G92" s="759">
        <v>0</v>
      </c>
      <c r="H92" s="758"/>
      <c r="I92" s="26">
        <f t="shared" si="21"/>
        <v>25000</v>
      </c>
      <c r="J92" s="71"/>
      <c r="K92" s="69">
        <v>25000</v>
      </c>
      <c r="L92" s="71"/>
      <c r="M92" s="69"/>
      <c r="N92" s="1022"/>
      <c r="O92" s="1130">
        <v>0</v>
      </c>
      <c r="P92" s="1129"/>
      <c r="Q92" s="922"/>
      <c r="R92" s="1126"/>
      <c r="T92" s="755"/>
      <c r="U92" s="755"/>
    </row>
    <row r="93" spans="1:21" s="86" customFormat="1" ht="12" customHeight="1">
      <c r="A93" s="124" t="s">
        <v>50</v>
      </c>
      <c r="B93" s="757"/>
      <c r="C93" s="102" t="s">
        <v>156</v>
      </c>
      <c r="D93" s="100"/>
      <c r="E93" s="7"/>
      <c r="F93" s="100"/>
      <c r="G93" s="7"/>
      <c r="H93" s="100"/>
      <c r="I93" s="26">
        <f t="shared" si="21"/>
        <v>0</v>
      </c>
      <c r="J93" s="100"/>
      <c r="K93" s="7"/>
      <c r="L93" s="100"/>
      <c r="M93" s="7"/>
      <c r="N93" s="975"/>
      <c r="O93" s="996"/>
      <c r="P93" s="984"/>
      <c r="Q93" s="961"/>
      <c r="R93" s="961"/>
      <c r="S93" s="961"/>
    </row>
    <row r="94" spans="1:21" s="86" customFormat="1" ht="12" customHeight="1">
      <c r="A94" s="124" t="s">
        <v>1330</v>
      </c>
      <c r="B94" s="879"/>
      <c r="C94" s="102"/>
      <c r="D94" s="100"/>
      <c r="E94" s="7">
        <v>249000</v>
      </c>
      <c r="F94" s="100"/>
      <c r="G94" s="7">
        <v>0</v>
      </c>
      <c r="H94" s="100"/>
      <c r="I94" s="26">
        <f t="shared" ref="I94" si="22">K94-G94</f>
        <v>0</v>
      </c>
      <c r="J94" s="100"/>
      <c r="K94" s="7">
        <v>0</v>
      </c>
      <c r="L94" s="100"/>
      <c r="M94" s="7"/>
      <c r="N94" s="975"/>
      <c r="O94" s="996">
        <v>0</v>
      </c>
      <c r="P94" s="984"/>
      <c r="Q94" s="961"/>
      <c r="R94" s="961"/>
      <c r="S94" s="961"/>
    </row>
    <row r="95" spans="1:21" s="86" customFormat="1" ht="12" customHeight="1">
      <c r="A95" s="124" t="s">
        <v>1217</v>
      </c>
      <c r="B95" s="757"/>
      <c r="C95" s="102"/>
      <c r="D95" s="100"/>
      <c r="E95" s="7">
        <v>0</v>
      </c>
      <c r="F95" s="100"/>
      <c r="G95" s="7">
        <v>0</v>
      </c>
      <c r="H95" s="100"/>
      <c r="I95" s="26">
        <f t="shared" si="21"/>
        <v>1800000</v>
      </c>
      <c r="J95" s="25"/>
      <c r="K95" s="31">
        <v>1800000</v>
      </c>
      <c r="L95" s="104"/>
      <c r="M95" s="105"/>
      <c r="N95" s="975"/>
      <c r="O95" s="996">
        <v>0</v>
      </c>
      <c r="P95" s="984"/>
      <c r="Q95" s="961"/>
      <c r="R95" s="961"/>
      <c r="S95" s="961"/>
    </row>
    <row r="96" spans="1:21" ht="13.5" customHeight="1">
      <c r="A96" s="1251" t="s">
        <v>16</v>
      </c>
      <c r="B96" s="1253"/>
      <c r="C96" s="29"/>
      <c r="D96" s="35" t="s">
        <v>15</v>
      </c>
      <c r="E96" s="36">
        <f>SUM(E84:E95)</f>
        <v>334200</v>
      </c>
      <c r="F96" s="72" t="s">
        <v>15</v>
      </c>
      <c r="G96" s="36">
        <f>SUM(G84:G95)</f>
        <v>0</v>
      </c>
      <c r="H96" s="35" t="s">
        <v>15</v>
      </c>
      <c r="I96" s="36">
        <f>SUM(I84:I95)</f>
        <v>2815024</v>
      </c>
      <c r="J96" s="35" t="s">
        <v>15</v>
      </c>
      <c r="K96" s="36">
        <f>SUM(K84:K95)</f>
        <v>2815024</v>
      </c>
      <c r="L96" s="35" t="s">
        <v>15</v>
      </c>
      <c r="M96" s="36">
        <f>SUM(M84:M95)</f>
        <v>0</v>
      </c>
      <c r="N96" s="1022" t="s">
        <v>15</v>
      </c>
      <c r="O96" s="1122">
        <f>M96-K96</f>
        <v>-2815024</v>
      </c>
      <c r="P96" s="1131"/>
      <c r="Q96" s="1116">
        <f>O96-K96</f>
        <v>-5630048</v>
      </c>
    </row>
    <row r="97" spans="1:21" ht="4.5" customHeight="1">
      <c r="A97" s="1251"/>
      <c r="B97" s="1253"/>
      <c r="C97" s="29"/>
      <c r="D97" s="8"/>
      <c r="E97" s="23"/>
      <c r="F97" s="47"/>
      <c r="G97" s="47"/>
      <c r="H97" s="27"/>
      <c r="I97" s="26"/>
      <c r="J97" s="25"/>
      <c r="K97" s="26"/>
      <c r="L97" s="25"/>
      <c r="M97" s="26"/>
      <c r="N97" s="1014"/>
      <c r="O97" s="1119"/>
      <c r="P97" s="1120"/>
    </row>
    <row r="98" spans="1:21" ht="15.75" customHeight="1">
      <c r="A98" s="1259" t="s">
        <v>277</v>
      </c>
      <c r="B98" s="1261"/>
      <c r="C98" s="73"/>
      <c r="D98" s="66" t="s">
        <v>15</v>
      </c>
      <c r="E98" s="65">
        <f>E96+E82+E37</f>
        <v>11927695.619999999</v>
      </c>
      <c r="F98" s="64" t="s">
        <v>15</v>
      </c>
      <c r="G98" s="65">
        <f>G96+G82+G37</f>
        <v>6155502.6900000004</v>
      </c>
      <c r="H98" s="66" t="s">
        <v>15</v>
      </c>
      <c r="I98" s="65">
        <f>I96+I82+I37</f>
        <v>18169583.309999999</v>
      </c>
      <c r="J98" s="66" t="s">
        <v>15</v>
      </c>
      <c r="K98" s="65">
        <f>K96+K82+K37</f>
        <v>24325086</v>
      </c>
      <c r="L98" s="66" t="s">
        <v>15</v>
      </c>
      <c r="M98" s="65">
        <f>M96+M82+M37</f>
        <v>21154709</v>
      </c>
      <c r="N98" s="1028"/>
      <c r="O98" s="919"/>
      <c r="P98" s="919"/>
      <c r="Q98" s="919">
        <f>Q96+Q82</f>
        <v>-21550848</v>
      </c>
    </row>
    <row r="99" spans="1:21" ht="3" customHeight="1">
      <c r="A99" s="349"/>
      <c r="B99" s="349"/>
      <c r="C99" s="33"/>
      <c r="D99" s="38"/>
      <c r="E99" s="39"/>
      <c r="F99" s="39"/>
      <c r="G99" s="39"/>
      <c r="H99" s="39"/>
      <c r="I99" s="39"/>
      <c r="J99" s="38"/>
      <c r="K99" s="39"/>
      <c r="L99" s="38"/>
      <c r="M99" s="39"/>
      <c r="N99" s="1030"/>
      <c r="O99" s="1131"/>
      <c r="P99" s="1131"/>
    </row>
    <row r="100" spans="1:21" ht="12" customHeight="1">
      <c r="A100" s="62" t="s">
        <v>1623</v>
      </c>
      <c r="B100" s="516"/>
      <c r="C100" s="33"/>
      <c r="D100" s="38"/>
      <c r="E100" s="39"/>
      <c r="F100" s="39"/>
      <c r="G100" s="39"/>
      <c r="H100" s="39"/>
      <c r="I100" s="39"/>
      <c r="J100" s="38"/>
      <c r="K100" s="39"/>
      <c r="L100" s="38"/>
      <c r="M100" s="39"/>
      <c r="N100" s="1030"/>
      <c r="O100" s="1131"/>
      <c r="P100" s="1131"/>
      <c r="T100" s="515"/>
      <c r="U100" s="515"/>
    </row>
    <row r="101" spans="1:21" ht="3" customHeight="1">
      <c r="A101" s="516"/>
      <c r="B101" s="516"/>
      <c r="C101" s="33"/>
      <c r="D101" s="38"/>
      <c r="E101" s="39"/>
      <c r="F101" s="39"/>
      <c r="G101" s="39"/>
      <c r="H101" s="39"/>
      <c r="I101" s="39"/>
      <c r="J101" s="38"/>
      <c r="K101" s="39"/>
      <c r="L101" s="38"/>
      <c r="M101" s="39"/>
      <c r="N101" s="1030"/>
      <c r="O101" s="1131"/>
      <c r="P101" s="1131"/>
      <c r="T101" s="515"/>
      <c r="U101" s="515"/>
    </row>
    <row r="102" spans="1:21" ht="3" customHeight="1">
      <c r="A102" s="516"/>
      <c r="B102" s="516"/>
      <c r="C102" s="33"/>
      <c r="D102" s="38"/>
      <c r="E102" s="39"/>
      <c r="F102" s="39"/>
      <c r="G102" s="39"/>
      <c r="H102" s="39"/>
      <c r="I102" s="39"/>
      <c r="J102" s="38"/>
      <c r="K102" s="39"/>
      <c r="L102" s="38"/>
      <c r="M102" s="39"/>
      <c r="N102" s="1030"/>
      <c r="O102" s="1131"/>
      <c r="P102" s="1131"/>
      <c r="T102" s="515"/>
      <c r="U102" s="515"/>
    </row>
    <row r="103" spans="1:21" s="74" customFormat="1">
      <c r="A103" s="74" t="s">
        <v>187</v>
      </c>
      <c r="C103" s="75" t="s">
        <v>188</v>
      </c>
      <c r="I103" s="74" t="s">
        <v>190</v>
      </c>
      <c r="J103" s="76"/>
      <c r="L103" s="76"/>
      <c r="N103" s="1032"/>
      <c r="O103" s="925"/>
      <c r="P103" s="925"/>
      <c r="Q103" s="1132"/>
      <c r="R103" s="1132"/>
      <c r="S103" s="1132"/>
      <c r="T103" s="77"/>
      <c r="U103" s="77"/>
    </row>
    <row r="105" spans="1:21" ht="3.75" customHeight="1"/>
    <row r="106" spans="1:21" s="11" customFormat="1">
      <c r="A106" s="1254" t="s">
        <v>1583</v>
      </c>
      <c r="B106" s="1254"/>
      <c r="C106" s="1254" t="s">
        <v>1584</v>
      </c>
      <c r="D106" s="1254"/>
      <c r="E106" s="1254"/>
      <c r="F106" s="1254"/>
      <c r="G106" s="1254"/>
      <c r="H106" s="78"/>
      <c r="I106" s="1254" t="s">
        <v>1585</v>
      </c>
      <c r="J106" s="1254"/>
      <c r="K106" s="1254"/>
      <c r="L106" s="1254"/>
      <c r="M106" s="1254"/>
      <c r="N106" s="1010"/>
      <c r="O106" s="1010"/>
      <c r="P106" s="1117"/>
      <c r="Q106" s="1117"/>
      <c r="R106" s="1117"/>
      <c r="S106" s="1117"/>
      <c r="T106" s="346"/>
      <c r="U106" s="346"/>
    </row>
    <row r="107" spans="1:21">
      <c r="A107" s="1299" t="s">
        <v>767</v>
      </c>
      <c r="B107" s="1299"/>
      <c r="C107" s="1299" t="s">
        <v>193</v>
      </c>
      <c r="D107" s="1299"/>
      <c r="E107" s="1299"/>
      <c r="F107" s="1299"/>
      <c r="G107" s="1299"/>
      <c r="H107" s="79"/>
      <c r="I107" s="1299" t="s">
        <v>192</v>
      </c>
      <c r="J107" s="1299"/>
      <c r="K107" s="1299"/>
      <c r="L107" s="1299"/>
      <c r="M107" s="1299"/>
      <c r="N107" s="1013"/>
      <c r="O107" s="1013"/>
      <c r="P107" s="1116">
        <f>mmo!M86+vmo!M56+osca!M28+sbo!M57+ssbo!M58+admin!M60+hrmo!M58+mpdo!M55+mcro!M55+gso!M58+mbo!M67+macco!M57+mto!M66+masso!M54+coa!M18+mctc!M30+pnp!M30+bfp!M32+dilg!M29+mho!M67+mswdo!M62+mago!M77+meo!M54+OBO!M52+MENRO!M82</f>
        <v>167272869</v>
      </c>
    </row>
    <row r="109" spans="1:21" s="347" customFormat="1" ht="12.75" customHeight="1">
      <c r="A109" s="8"/>
      <c r="B109" s="8"/>
      <c r="C109" s="8"/>
      <c r="D109" s="9"/>
      <c r="E109" s="8"/>
      <c r="F109" s="8"/>
      <c r="G109" s="8"/>
      <c r="H109" s="8"/>
      <c r="I109" s="8"/>
      <c r="J109" s="9"/>
      <c r="K109" s="8"/>
      <c r="L109" s="9"/>
      <c r="M109" s="8"/>
      <c r="N109" s="928"/>
      <c r="O109" s="922"/>
      <c r="P109" s="922"/>
      <c r="Q109" s="1011"/>
      <c r="R109" s="1011"/>
      <c r="S109" s="1011"/>
    </row>
    <row r="116" spans="1:19" s="347" customFormat="1">
      <c r="A116" s="74" t="s">
        <v>189</v>
      </c>
      <c r="B116" s="8"/>
      <c r="C116" s="8"/>
      <c r="D116" s="9"/>
      <c r="E116" s="74"/>
      <c r="F116" s="8"/>
      <c r="G116" s="8"/>
      <c r="H116" s="8"/>
      <c r="I116" s="8"/>
      <c r="J116" s="9"/>
      <c r="K116" s="8"/>
      <c r="L116" s="9"/>
      <c r="M116" s="8"/>
      <c r="N116" s="928"/>
      <c r="O116" s="922"/>
      <c r="P116" s="922"/>
      <c r="Q116" s="1011"/>
      <c r="R116" s="1011"/>
      <c r="S116" s="1011"/>
    </row>
    <row r="119" spans="1:19" s="347" customFormat="1" ht="15" customHeight="1">
      <c r="A119" s="8"/>
      <c r="B119" s="8"/>
      <c r="C119" s="8"/>
      <c r="D119" s="9"/>
      <c r="E119" s="8"/>
      <c r="F119" s="8"/>
      <c r="G119" s="8"/>
      <c r="H119" s="8"/>
      <c r="I119" s="8"/>
      <c r="J119" s="9"/>
      <c r="K119" s="8"/>
      <c r="L119" s="9"/>
      <c r="M119" s="8"/>
      <c r="N119" s="928"/>
      <c r="O119" s="922"/>
      <c r="P119" s="922"/>
      <c r="Q119" s="1011"/>
      <c r="R119" s="1011"/>
      <c r="S119" s="1011"/>
    </row>
    <row r="120" spans="1:19" s="347" customFormat="1">
      <c r="A120" s="78" t="s">
        <v>191</v>
      </c>
      <c r="B120" s="78"/>
      <c r="C120" s="11"/>
      <c r="D120" s="80"/>
      <c r="E120" s="78"/>
      <c r="F120" s="78"/>
      <c r="G120" s="78"/>
      <c r="H120" s="78"/>
      <c r="I120" s="78"/>
      <c r="J120" s="78"/>
      <c r="K120" s="78"/>
      <c r="L120" s="78"/>
      <c r="M120" s="78"/>
      <c r="N120" s="1010"/>
      <c r="O120" s="1010"/>
      <c r="P120" s="1010"/>
      <c r="Q120" s="1011"/>
      <c r="R120" s="1011"/>
      <c r="S120" s="1011"/>
    </row>
    <row r="121" spans="1:19" s="347" customFormat="1">
      <c r="A121" s="79" t="s">
        <v>194</v>
      </c>
      <c r="B121" s="79"/>
      <c r="C121" s="8"/>
      <c r="D121" s="9"/>
      <c r="E121" s="79"/>
      <c r="F121" s="79"/>
      <c r="G121" s="79"/>
      <c r="H121" s="79"/>
      <c r="I121" s="79"/>
      <c r="J121" s="79"/>
      <c r="K121" s="79"/>
      <c r="L121" s="79"/>
      <c r="M121" s="79"/>
      <c r="N121" s="1013"/>
      <c r="O121" s="1013"/>
      <c r="P121" s="1013"/>
      <c r="Q121" s="1011"/>
      <c r="R121" s="1011"/>
      <c r="S121" s="1011"/>
    </row>
  </sheetData>
  <sheetProtection algorithmName="SHA-512" hashValue="bzBk2Kr49lctq0lkYJxTud1E7ruvoDjnVL/GgBiGmE4Fm5NGlrG0RvIqykicbqPuymRHJcdc5ddgdDTBmIrUsw==" saltValue="n6SfIl0rPfB4Qn+0a3l6SA==" spinCount="100000" sheet="1" objects="1" scenarios="1"/>
  <mergeCells count="27">
    <mergeCell ref="A3:M3"/>
    <mergeCell ref="A4:M4"/>
    <mergeCell ref="I106:M106"/>
    <mergeCell ref="I107:M107"/>
    <mergeCell ref="A97:B97"/>
    <mergeCell ref="A98:B98"/>
    <mergeCell ref="C106:G106"/>
    <mergeCell ref="A107:B107"/>
    <mergeCell ref="C107:G107"/>
    <mergeCell ref="A106:B106"/>
    <mergeCell ref="F13:G13"/>
    <mergeCell ref="H13:I13"/>
    <mergeCell ref="A37:B37"/>
    <mergeCell ref="A82:B82"/>
    <mergeCell ref="A96:B96"/>
    <mergeCell ref="L12:M12"/>
    <mergeCell ref="L13:M13"/>
    <mergeCell ref="N11:O13"/>
    <mergeCell ref="D11:E11"/>
    <mergeCell ref="F11:K11"/>
    <mergeCell ref="L11:M11"/>
    <mergeCell ref="A12:B12"/>
    <mergeCell ref="D12:E12"/>
    <mergeCell ref="F12:G12"/>
    <mergeCell ref="H12:I12"/>
    <mergeCell ref="J12:K13"/>
    <mergeCell ref="D13:E13"/>
  </mergeCells>
  <pageMargins left="0" right="0" top="0.59055118110236204" bottom="0.39370078740157499" header="0.39370078740157499" footer="0.39370078740157499"/>
  <pageSetup paperSize="14" scale="98" fitToHeight="0" orientation="portrait" verticalDpi="300" r:id="rId1"/>
  <headerFooter alignWithMargins="0">
    <oddHeader>&amp;RPage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  <pageSetUpPr fitToPage="1"/>
  </sheetPr>
  <dimension ref="A1:V156"/>
  <sheetViews>
    <sheetView topLeftCell="A73" zoomScale="130" zoomScaleNormal="130" workbookViewId="0">
      <selection activeCell="N22" sqref="N22"/>
    </sheetView>
  </sheetViews>
  <sheetFormatPr defaultColWidth="9.140625" defaultRowHeight="13.5"/>
  <cols>
    <col min="1" max="1" width="11" style="86" customWidth="1"/>
    <col min="2" max="2" width="24.42578125" style="86" customWidth="1"/>
    <col min="3" max="3" width="9.42578125" style="86" customWidth="1"/>
    <col min="4" max="4" width="1.42578125" style="87" customWidth="1"/>
    <col min="5" max="5" width="11.42578125" style="86" customWidth="1"/>
    <col min="6" max="6" width="1.7109375" style="87" customWidth="1"/>
    <col min="7" max="7" width="11" style="86" customWidth="1"/>
    <col min="8" max="8" width="1.42578125" style="87" customWidth="1"/>
    <col min="9" max="9" width="10.85546875" style="86" customWidth="1"/>
    <col min="10" max="10" width="1.5703125" style="87" customWidth="1"/>
    <col min="11" max="11" width="11.140625" style="86" customWidth="1"/>
    <col min="12" max="12" width="1.5703125" style="87" customWidth="1"/>
    <col min="13" max="13" width="11.140625" style="86" customWidth="1"/>
    <col min="14" max="14" width="1.5703125" style="966" hidden="1" customWidth="1"/>
    <col min="15" max="15" width="11.140625" style="961" hidden="1" customWidth="1"/>
    <col min="16" max="16" width="11" style="961" hidden="1" customWidth="1"/>
    <col min="17" max="17" width="9.140625" style="961" hidden="1" customWidth="1"/>
    <col min="18" max="18" width="10.28515625" style="961" hidden="1" customWidth="1"/>
    <col min="19" max="19" width="9.140625" style="961" hidden="1" customWidth="1"/>
    <col min="20" max="21" width="0" style="961" hidden="1" customWidth="1"/>
    <col min="22" max="16384" width="9.140625" style="86"/>
  </cols>
  <sheetData>
    <row r="1" spans="1:20">
      <c r="A1" s="86" t="s">
        <v>186</v>
      </c>
    </row>
    <row r="2" spans="1:20" ht="6.75" customHeight="1"/>
    <row r="3" spans="1:20" ht="14.25" customHeight="1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986"/>
      <c r="O3" s="986"/>
      <c r="P3" s="962"/>
      <c r="Q3" s="962"/>
      <c r="R3" s="962"/>
      <c r="S3" s="962"/>
      <c r="T3" s="962"/>
    </row>
    <row r="4" spans="1:20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986"/>
      <c r="O4" s="986"/>
      <c r="P4" s="962"/>
      <c r="Q4" s="962"/>
      <c r="R4" s="962"/>
      <c r="S4" s="962"/>
      <c r="T4" s="962"/>
    </row>
    <row r="5" spans="1:20" ht="10.5" customHeight="1"/>
    <row r="6" spans="1:20">
      <c r="A6" s="89" t="s">
        <v>85</v>
      </c>
      <c r="B6" s="90" t="s">
        <v>465</v>
      </c>
      <c r="C6" s="90"/>
      <c r="D6" s="139"/>
    </row>
    <row r="7" spans="1:20" ht="13.5" hidden="1" customHeight="1">
      <c r="A7" s="86" t="s">
        <v>2</v>
      </c>
      <c r="B7" s="90" t="s">
        <v>466</v>
      </c>
      <c r="C7" s="108"/>
      <c r="F7" s="804"/>
      <c r="G7" s="804"/>
      <c r="H7" s="804"/>
      <c r="I7" s="804"/>
      <c r="J7" s="804"/>
      <c r="K7" s="804"/>
      <c r="L7" s="804"/>
      <c r="M7" s="804"/>
      <c r="N7" s="1034"/>
      <c r="O7" s="1034"/>
    </row>
    <row r="8" spans="1:20" ht="13.5" hidden="1" customHeight="1">
      <c r="A8" s="86" t="s">
        <v>3</v>
      </c>
      <c r="B8" s="91" t="s">
        <v>467</v>
      </c>
      <c r="C8" s="91"/>
      <c r="D8" s="186"/>
      <c r="F8" s="86"/>
      <c r="H8" s="86"/>
      <c r="J8" s="86"/>
      <c r="L8" s="86"/>
      <c r="N8" s="961"/>
    </row>
    <row r="9" spans="1:20" ht="13.5" hidden="1" customHeight="1">
      <c r="A9" s="86" t="s">
        <v>4</v>
      </c>
      <c r="B9" s="91" t="s">
        <v>404</v>
      </c>
      <c r="C9" s="91"/>
      <c r="D9" s="186"/>
    </row>
    <row r="10" spans="1:20" ht="9.75" customHeight="1">
      <c r="B10" s="92"/>
      <c r="C10" s="92"/>
      <c r="D10" s="116"/>
    </row>
    <row r="11" spans="1:20">
      <c r="A11" s="93"/>
      <c r="B11" s="94"/>
      <c r="C11" s="2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328" t="s">
        <v>494</v>
      </c>
      <c r="O11" s="1329"/>
    </row>
    <row r="12" spans="1:20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330"/>
      <c r="O12" s="1331"/>
    </row>
    <row r="13" spans="1:20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332"/>
      <c r="O13" s="1333"/>
    </row>
    <row r="14" spans="1:20">
      <c r="A14" s="97" t="s">
        <v>281</v>
      </c>
      <c r="B14" s="98"/>
      <c r="C14" s="99"/>
      <c r="D14" s="100"/>
      <c r="E14" s="7"/>
      <c r="F14" s="100"/>
      <c r="G14" s="7"/>
      <c r="H14" s="100"/>
      <c r="I14" s="7"/>
      <c r="J14" s="100"/>
      <c r="K14" s="7"/>
      <c r="L14" s="100"/>
      <c r="M14" s="7"/>
      <c r="N14" s="971"/>
      <c r="O14" s="1035"/>
    </row>
    <row r="15" spans="1:20" ht="13.5" customHeight="1">
      <c r="A15" s="101" t="s">
        <v>262</v>
      </c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  <c r="N15" s="971"/>
      <c r="O15" s="1035"/>
    </row>
    <row r="16" spans="1:20">
      <c r="A16" s="101" t="s">
        <v>263</v>
      </c>
      <c r="B16" s="98"/>
      <c r="C16" s="102" t="s">
        <v>114</v>
      </c>
      <c r="D16" s="100" t="s">
        <v>15</v>
      </c>
      <c r="E16" s="221">
        <v>6396334.5099999998</v>
      </c>
      <c r="F16" s="100" t="s">
        <v>15</v>
      </c>
      <c r="G16" s="221">
        <v>3405664</v>
      </c>
      <c r="H16" s="100" t="s">
        <v>15</v>
      </c>
      <c r="I16" s="221">
        <f>K16-G16</f>
        <v>3830792</v>
      </c>
      <c r="J16" s="100" t="s">
        <v>15</v>
      </c>
      <c r="K16" s="221">
        <v>7236456</v>
      </c>
      <c r="L16" s="100" t="s">
        <v>15</v>
      </c>
      <c r="M16" s="221">
        <v>7801980</v>
      </c>
      <c r="N16" s="973" t="s">
        <v>15</v>
      </c>
      <c r="O16" s="1058">
        <v>0</v>
      </c>
    </row>
    <row r="17" spans="1:20">
      <c r="A17" s="101" t="s">
        <v>264</v>
      </c>
      <c r="B17" s="98"/>
      <c r="C17" s="102" t="s">
        <v>115</v>
      </c>
      <c r="D17" s="100"/>
      <c r="E17" s="221">
        <v>1721885.71</v>
      </c>
      <c r="F17" s="100"/>
      <c r="G17" s="221">
        <v>832646.35</v>
      </c>
      <c r="H17" s="100"/>
      <c r="I17" s="221">
        <f t="shared" ref="I17:I36" si="0">K17-G17</f>
        <v>1572393.65</v>
      </c>
      <c r="J17" s="100"/>
      <c r="K17" s="221">
        <v>2405040</v>
      </c>
      <c r="L17" s="100"/>
      <c r="M17" s="221">
        <v>2404980</v>
      </c>
      <c r="N17" s="975"/>
      <c r="O17" s="1059">
        <v>0</v>
      </c>
    </row>
    <row r="18" spans="1:20">
      <c r="A18" s="101" t="s">
        <v>265</v>
      </c>
      <c r="B18" s="98"/>
      <c r="C18" s="102"/>
      <c r="D18" s="100"/>
      <c r="E18" s="7"/>
      <c r="F18" s="100"/>
      <c r="G18" s="7"/>
      <c r="H18" s="100"/>
      <c r="I18" s="7"/>
      <c r="J18" s="100"/>
      <c r="K18" s="7"/>
      <c r="L18" s="100"/>
      <c r="M18" s="7"/>
      <c r="N18" s="975"/>
      <c r="O18" s="996"/>
      <c r="P18" s="963"/>
    </row>
    <row r="19" spans="1:20">
      <c r="A19" s="101" t="s">
        <v>266</v>
      </c>
      <c r="B19" s="98"/>
      <c r="C19" s="102" t="s">
        <v>116</v>
      </c>
      <c r="D19" s="100"/>
      <c r="E19" s="221">
        <v>784910.39</v>
      </c>
      <c r="F19" s="100"/>
      <c r="G19" s="221">
        <v>411721.99</v>
      </c>
      <c r="H19" s="100"/>
      <c r="I19" s="221">
        <f t="shared" si="0"/>
        <v>524278.01</v>
      </c>
      <c r="J19" s="100"/>
      <c r="K19" s="221">
        <v>936000</v>
      </c>
      <c r="L19" s="100"/>
      <c r="M19" s="221">
        <v>960000</v>
      </c>
      <c r="N19" s="975"/>
      <c r="O19" s="1059">
        <v>0</v>
      </c>
    </row>
    <row r="20" spans="1:20">
      <c r="A20" s="101" t="s">
        <v>267</v>
      </c>
      <c r="B20" s="98"/>
      <c r="C20" s="102" t="s">
        <v>117</v>
      </c>
      <c r="D20" s="100"/>
      <c r="E20" s="221">
        <v>81000</v>
      </c>
      <c r="F20" s="100"/>
      <c r="G20" s="221">
        <v>40500</v>
      </c>
      <c r="H20" s="100"/>
      <c r="I20" s="221">
        <f t="shared" si="0"/>
        <v>40500</v>
      </c>
      <c r="J20" s="100"/>
      <c r="K20" s="221">
        <v>81000</v>
      </c>
      <c r="L20" s="100"/>
      <c r="M20" s="221">
        <v>81000</v>
      </c>
      <c r="N20" s="975"/>
      <c r="O20" s="1059">
        <v>0</v>
      </c>
    </row>
    <row r="21" spans="1:20">
      <c r="A21" s="101" t="s">
        <v>268</v>
      </c>
      <c r="B21" s="106"/>
      <c r="C21" s="102" t="s">
        <v>118</v>
      </c>
      <c r="D21" s="100"/>
      <c r="E21" s="221">
        <v>81000</v>
      </c>
      <c r="F21" s="100"/>
      <c r="G21" s="221">
        <v>40500</v>
      </c>
      <c r="H21" s="100"/>
      <c r="I21" s="221">
        <f t="shared" si="0"/>
        <v>40500</v>
      </c>
      <c r="J21" s="100"/>
      <c r="K21" s="221">
        <v>81000</v>
      </c>
      <c r="L21" s="100"/>
      <c r="M21" s="221">
        <v>81000</v>
      </c>
      <c r="N21" s="975"/>
      <c r="O21" s="1059">
        <v>0</v>
      </c>
    </row>
    <row r="22" spans="1:20">
      <c r="A22" s="101" t="s">
        <v>269</v>
      </c>
      <c r="B22" s="106"/>
      <c r="C22" s="102" t="s">
        <v>119</v>
      </c>
      <c r="D22" s="100"/>
      <c r="E22" s="221">
        <v>192000</v>
      </c>
      <c r="F22" s="100"/>
      <c r="G22" s="221">
        <v>216000</v>
      </c>
      <c r="H22" s="100"/>
      <c r="I22" s="221">
        <f t="shared" si="0"/>
        <v>18000</v>
      </c>
      <c r="J22" s="100"/>
      <c r="K22" s="221">
        <v>234000</v>
      </c>
      <c r="L22" s="100"/>
      <c r="M22" s="221">
        <v>240000</v>
      </c>
      <c r="N22" s="975"/>
      <c r="O22" s="1059">
        <v>0</v>
      </c>
      <c r="T22" s="961" t="s">
        <v>11</v>
      </c>
    </row>
    <row r="23" spans="1:20">
      <c r="A23" s="101" t="s">
        <v>270</v>
      </c>
      <c r="B23" s="106"/>
      <c r="C23" s="102" t="s">
        <v>120</v>
      </c>
      <c r="D23" s="100"/>
      <c r="E23" s="221">
        <v>172500</v>
      </c>
      <c r="F23" s="100"/>
      <c r="G23" s="221">
        <v>0</v>
      </c>
      <c r="H23" s="100"/>
      <c r="I23" s="221">
        <f t="shared" si="0"/>
        <v>195000</v>
      </c>
      <c r="J23" s="100"/>
      <c r="K23" s="221">
        <v>195000</v>
      </c>
      <c r="L23" s="100"/>
      <c r="M23" s="221">
        <v>200000</v>
      </c>
      <c r="N23" s="975"/>
      <c r="O23" s="1059">
        <v>0</v>
      </c>
    </row>
    <row r="24" spans="1:20">
      <c r="A24" s="101" t="s">
        <v>271</v>
      </c>
      <c r="B24" s="98"/>
      <c r="C24" s="102" t="s">
        <v>121</v>
      </c>
      <c r="D24" s="100"/>
      <c r="E24" s="221">
        <v>664584.57999999996</v>
      </c>
      <c r="F24" s="100"/>
      <c r="G24" s="221">
        <v>0</v>
      </c>
      <c r="H24" s="100"/>
      <c r="I24" s="221">
        <f t="shared" si="0"/>
        <v>803458</v>
      </c>
      <c r="J24" s="100"/>
      <c r="K24" s="221">
        <v>803458</v>
      </c>
      <c r="L24" s="100"/>
      <c r="M24" s="221">
        <v>850580</v>
      </c>
      <c r="N24" s="975"/>
      <c r="O24" s="1059">
        <v>0</v>
      </c>
    </row>
    <row r="25" spans="1:20">
      <c r="A25" s="101" t="s">
        <v>278</v>
      </c>
      <c r="B25" s="108"/>
      <c r="C25" s="102" t="s">
        <v>258</v>
      </c>
      <c r="D25" s="100"/>
      <c r="E25" s="221"/>
      <c r="F25" s="100"/>
      <c r="G25" s="221"/>
      <c r="H25" s="100"/>
      <c r="I25" s="221"/>
      <c r="J25" s="100"/>
      <c r="K25" s="221"/>
      <c r="L25" s="100"/>
      <c r="M25" s="221"/>
      <c r="N25" s="975"/>
      <c r="O25" s="1059"/>
    </row>
    <row r="26" spans="1:20">
      <c r="A26" s="101" t="s">
        <v>279</v>
      </c>
      <c r="B26" s="108"/>
      <c r="C26" s="102"/>
      <c r="D26" s="100"/>
      <c r="E26" s="221">
        <v>653416.52</v>
      </c>
      <c r="F26" s="100"/>
      <c r="G26" s="221">
        <v>689842.22</v>
      </c>
      <c r="H26" s="100"/>
      <c r="I26" s="221">
        <f>K26-G26</f>
        <v>113615.78000000003</v>
      </c>
      <c r="J26" s="100"/>
      <c r="K26" s="221">
        <v>803458</v>
      </c>
      <c r="L26" s="100"/>
      <c r="M26" s="221">
        <v>850580</v>
      </c>
      <c r="N26" s="975"/>
      <c r="O26" s="1059">
        <v>0</v>
      </c>
    </row>
    <row r="27" spans="1:20">
      <c r="A27" s="101" t="s">
        <v>280</v>
      </c>
      <c r="B27" s="108"/>
      <c r="C27" s="102"/>
      <c r="D27" s="100"/>
      <c r="E27" s="221">
        <v>0</v>
      </c>
      <c r="F27" s="100"/>
      <c r="G27" s="221">
        <v>99000</v>
      </c>
      <c r="H27" s="100"/>
      <c r="I27" s="221">
        <f>K27-G27</f>
        <v>18000</v>
      </c>
      <c r="J27" s="100"/>
      <c r="K27" s="221">
        <v>117000</v>
      </c>
      <c r="L27" s="100"/>
      <c r="M27" s="221">
        <v>0</v>
      </c>
      <c r="N27" s="975"/>
      <c r="O27" s="1059">
        <v>0</v>
      </c>
    </row>
    <row r="28" spans="1:20">
      <c r="A28" s="101" t="s">
        <v>272</v>
      </c>
      <c r="B28" s="98"/>
      <c r="C28" s="102" t="s">
        <v>122</v>
      </c>
      <c r="D28" s="100"/>
      <c r="E28" s="221">
        <v>936087.12</v>
      </c>
      <c r="F28" s="100"/>
      <c r="G28" s="221">
        <v>514023.93</v>
      </c>
      <c r="H28" s="100"/>
      <c r="I28" s="221">
        <f t="shared" si="0"/>
        <v>642956.07000000007</v>
      </c>
      <c r="J28" s="100"/>
      <c r="K28" s="221">
        <v>1156980</v>
      </c>
      <c r="L28" s="100"/>
      <c r="M28" s="221">
        <v>1224836</v>
      </c>
      <c r="N28" s="975"/>
      <c r="O28" s="1059">
        <v>0</v>
      </c>
    </row>
    <row r="29" spans="1:20">
      <c r="A29" s="101" t="s">
        <v>273</v>
      </c>
      <c r="B29" s="98"/>
      <c r="C29" s="102" t="s">
        <v>123</v>
      </c>
      <c r="D29" s="100"/>
      <c r="E29" s="221">
        <v>152597.01999999999</v>
      </c>
      <c r="F29" s="100"/>
      <c r="G29" s="221">
        <v>30827.759999999998</v>
      </c>
      <c r="H29" s="100"/>
      <c r="I29" s="221">
        <f t="shared" si="0"/>
        <v>162228.24</v>
      </c>
      <c r="J29" s="100"/>
      <c r="K29" s="221">
        <v>193056</v>
      </c>
      <c r="L29" s="100"/>
      <c r="M29" s="221">
        <v>48000</v>
      </c>
      <c r="N29" s="975"/>
      <c r="O29" s="1059">
        <v>0</v>
      </c>
    </row>
    <row r="30" spans="1:20">
      <c r="A30" s="101" t="s">
        <v>274</v>
      </c>
      <c r="B30" s="98"/>
      <c r="C30" s="102" t="s">
        <v>124</v>
      </c>
      <c r="D30" s="100"/>
      <c r="E30" s="221">
        <v>111796.71</v>
      </c>
      <c r="F30" s="100"/>
      <c r="G30" s="221">
        <v>64830.28</v>
      </c>
      <c r="H30" s="100"/>
      <c r="I30" s="221">
        <f t="shared" si="0"/>
        <v>126029.72</v>
      </c>
      <c r="J30" s="100"/>
      <c r="K30" s="221">
        <v>190860</v>
      </c>
      <c r="L30" s="100"/>
      <c r="M30" s="221">
        <v>229908</v>
      </c>
      <c r="N30" s="975"/>
      <c r="O30" s="1059">
        <v>0</v>
      </c>
    </row>
    <row r="31" spans="1:20">
      <c r="A31" s="101" t="s">
        <v>275</v>
      </c>
      <c r="B31" s="98"/>
      <c r="C31" s="102" t="s">
        <v>125</v>
      </c>
      <c r="D31" s="100"/>
      <c r="E31" s="221">
        <v>39700</v>
      </c>
      <c r="F31" s="100"/>
      <c r="G31" s="221">
        <v>20900</v>
      </c>
      <c r="H31" s="100"/>
      <c r="I31" s="221">
        <f t="shared" si="0"/>
        <v>25900</v>
      </c>
      <c r="J31" s="100"/>
      <c r="K31" s="221">
        <v>46800</v>
      </c>
      <c r="L31" s="100"/>
      <c r="M31" s="221">
        <v>48000</v>
      </c>
      <c r="N31" s="975"/>
      <c r="O31" s="1059">
        <v>0</v>
      </c>
    </row>
    <row r="32" spans="1:20">
      <c r="A32" s="101" t="s">
        <v>276</v>
      </c>
      <c r="B32" s="108"/>
      <c r="C32" s="102" t="s">
        <v>161</v>
      </c>
      <c r="D32" s="100"/>
      <c r="E32" s="7"/>
      <c r="F32" s="100"/>
      <c r="G32" s="7"/>
      <c r="H32" s="100"/>
      <c r="I32" s="7"/>
      <c r="J32" s="100"/>
      <c r="K32" s="7"/>
      <c r="L32" s="100"/>
      <c r="M32" s="7"/>
      <c r="N32" s="975"/>
      <c r="O32" s="996"/>
      <c r="P32" s="963"/>
    </row>
    <row r="33" spans="1:18">
      <c r="A33" s="101" t="s">
        <v>292</v>
      </c>
      <c r="B33" s="108"/>
      <c r="C33" s="102"/>
      <c r="D33" s="100"/>
      <c r="E33" s="7">
        <v>0</v>
      </c>
      <c r="F33" s="100"/>
      <c r="G33" s="7">
        <v>0</v>
      </c>
      <c r="H33" s="100"/>
      <c r="I33" s="7">
        <f>K33-G33</f>
        <v>0</v>
      </c>
      <c r="J33" s="100"/>
      <c r="K33" s="7">
        <v>0</v>
      </c>
      <c r="L33" s="100"/>
      <c r="M33" s="7">
        <v>533105</v>
      </c>
      <c r="N33" s="975"/>
      <c r="O33" s="996">
        <v>0</v>
      </c>
    </row>
    <row r="34" spans="1:18">
      <c r="A34" s="101" t="s">
        <v>260</v>
      </c>
      <c r="B34" s="108"/>
      <c r="C34" s="102"/>
      <c r="D34" s="100"/>
      <c r="E34" s="221">
        <v>176500</v>
      </c>
      <c r="F34" s="100"/>
      <c r="G34" s="221">
        <v>0</v>
      </c>
      <c r="H34" s="100"/>
      <c r="I34" s="221">
        <f t="shared" ref="I34" si="1">K34-G34</f>
        <v>195000</v>
      </c>
      <c r="J34" s="100"/>
      <c r="K34" s="221">
        <v>195000</v>
      </c>
      <c r="L34" s="100"/>
      <c r="M34" s="221">
        <v>200000</v>
      </c>
      <c r="N34" s="975"/>
      <c r="O34" s="1059">
        <v>0</v>
      </c>
    </row>
    <row r="35" spans="1:18">
      <c r="A35" s="101" t="s">
        <v>764</v>
      </c>
      <c r="B35" s="108"/>
      <c r="C35" s="102"/>
      <c r="D35" s="100"/>
      <c r="E35" s="221">
        <v>0</v>
      </c>
      <c r="F35" s="100"/>
      <c r="G35" s="221">
        <v>0</v>
      </c>
      <c r="H35" s="100"/>
      <c r="I35" s="221">
        <f t="shared" si="0"/>
        <v>425929</v>
      </c>
      <c r="J35" s="100"/>
      <c r="K35" s="221">
        <v>425929</v>
      </c>
      <c r="L35" s="100"/>
      <c r="M35" s="221">
        <v>0</v>
      </c>
      <c r="N35" s="975"/>
      <c r="O35" s="1059">
        <v>0</v>
      </c>
    </row>
    <row r="36" spans="1:18">
      <c r="A36" s="101" t="s">
        <v>259</v>
      </c>
      <c r="B36" s="108"/>
      <c r="C36" s="102"/>
      <c r="D36" s="100"/>
      <c r="E36" s="221">
        <v>5000</v>
      </c>
      <c r="F36" s="100"/>
      <c r="G36" s="221">
        <v>35000</v>
      </c>
      <c r="H36" s="100"/>
      <c r="I36" s="221">
        <f t="shared" si="0"/>
        <v>0</v>
      </c>
      <c r="J36" s="100"/>
      <c r="K36" s="222">
        <v>35000</v>
      </c>
      <c r="L36" s="104"/>
      <c r="M36" s="222">
        <v>15000</v>
      </c>
      <c r="N36" s="975"/>
      <c r="O36" s="1059">
        <v>0</v>
      </c>
    </row>
    <row r="37" spans="1:18">
      <c r="A37" s="1325" t="s">
        <v>14</v>
      </c>
      <c r="B37" s="1326"/>
      <c r="C37" s="102"/>
      <c r="D37" s="109" t="s">
        <v>15</v>
      </c>
      <c r="E37" s="110">
        <f>SUM(E16:E36)</f>
        <v>12169312.559999999</v>
      </c>
      <c r="F37" s="109" t="s">
        <v>15</v>
      </c>
      <c r="G37" s="110">
        <f>SUM(G16:G36)</f>
        <v>6401456.5299999993</v>
      </c>
      <c r="H37" s="109" t="s">
        <v>15</v>
      </c>
      <c r="I37" s="110">
        <f>SUM(I16:I36)</f>
        <v>8734580.4700000007</v>
      </c>
      <c r="J37" s="109" t="s">
        <v>15</v>
      </c>
      <c r="K37" s="110">
        <f>SUM(K16:K36)</f>
        <v>15136037</v>
      </c>
      <c r="L37" s="109" t="s">
        <v>15</v>
      </c>
      <c r="M37" s="110">
        <f>SUM(M16:M36)</f>
        <v>15768969</v>
      </c>
      <c r="N37" s="977" t="s">
        <v>15</v>
      </c>
      <c r="O37" s="1033">
        <f>SUM(O16:O36)</f>
        <v>0</v>
      </c>
    </row>
    <row r="38" spans="1:18">
      <c r="A38" s="97" t="s">
        <v>282</v>
      </c>
      <c r="B38" s="98"/>
      <c r="C38" s="102"/>
      <c r="D38" s="120"/>
      <c r="E38" s="117"/>
      <c r="F38" s="120"/>
      <c r="G38" s="117"/>
      <c r="H38" s="120"/>
      <c r="I38" s="117"/>
      <c r="J38" s="120"/>
      <c r="K38" s="117"/>
      <c r="L38" s="120"/>
      <c r="M38" s="117"/>
      <c r="N38" s="969"/>
      <c r="O38" s="970"/>
    </row>
    <row r="39" spans="1:18">
      <c r="A39" s="101" t="s">
        <v>41</v>
      </c>
      <c r="B39" s="98"/>
      <c r="C39" s="102" t="s">
        <v>126</v>
      </c>
      <c r="D39" s="100" t="s">
        <v>15</v>
      </c>
      <c r="E39" s="7">
        <v>61250</v>
      </c>
      <c r="F39" s="100" t="s">
        <v>15</v>
      </c>
      <c r="G39" s="7">
        <v>262500</v>
      </c>
      <c r="H39" s="111" t="s">
        <v>15</v>
      </c>
      <c r="I39" s="7">
        <f>K39-G39</f>
        <v>487500</v>
      </c>
      <c r="J39" s="100" t="s">
        <v>15</v>
      </c>
      <c r="K39" s="7">
        <v>750000</v>
      </c>
      <c r="L39" s="100" t="s">
        <v>15</v>
      </c>
      <c r="M39" s="7">
        <v>500000</v>
      </c>
      <c r="N39" s="973" t="s">
        <v>15</v>
      </c>
      <c r="O39" s="1036">
        <f>M39-K39</f>
        <v>-250000</v>
      </c>
      <c r="P39" s="963">
        <f>O39-K39</f>
        <v>-1000000</v>
      </c>
      <c r="Q39" s="963">
        <f>K39*0.1</f>
        <v>75000</v>
      </c>
      <c r="R39" s="963">
        <f>K39+Q39</f>
        <v>825000</v>
      </c>
    </row>
    <row r="40" spans="1:18">
      <c r="A40" s="101" t="s">
        <v>42</v>
      </c>
      <c r="B40" s="98"/>
      <c r="C40" s="102" t="s">
        <v>127</v>
      </c>
      <c r="D40" s="100"/>
      <c r="E40" s="157">
        <v>10000</v>
      </c>
      <c r="F40" s="100"/>
      <c r="G40" s="7">
        <v>70500</v>
      </c>
      <c r="H40" s="111"/>
      <c r="I40" s="7">
        <f t="shared" ref="I40:I53" si="2">K40-G40</f>
        <v>117000</v>
      </c>
      <c r="J40" s="100"/>
      <c r="K40" s="7">
        <v>187500</v>
      </c>
      <c r="L40" s="100"/>
      <c r="M40" s="7">
        <v>200000</v>
      </c>
      <c r="N40" s="975"/>
      <c r="O40" s="1036">
        <f t="shared" ref="O40:O49" si="3">M40-K40</f>
        <v>12500</v>
      </c>
      <c r="P40" s="963">
        <f t="shared" ref="P40:P53" si="4">O40-K40</f>
        <v>-175000</v>
      </c>
      <c r="Q40" s="963">
        <f t="shared" ref="Q40:Q51" si="5">K40*0.1</f>
        <v>18750</v>
      </c>
      <c r="R40" s="963">
        <f t="shared" ref="R40:R51" si="6">K40+Q40</f>
        <v>206250</v>
      </c>
    </row>
    <row r="41" spans="1:18">
      <c r="A41" s="101" t="s">
        <v>28</v>
      </c>
      <c r="B41" s="98"/>
      <c r="C41" s="102" t="s">
        <v>128</v>
      </c>
      <c r="D41" s="100"/>
      <c r="E41" s="157">
        <v>92246.15</v>
      </c>
      <c r="F41" s="100"/>
      <c r="G41" s="7">
        <v>33953</v>
      </c>
      <c r="H41" s="111"/>
      <c r="I41" s="7">
        <f t="shared" si="2"/>
        <v>278547</v>
      </c>
      <c r="J41" s="100"/>
      <c r="K41" s="7">
        <v>312500</v>
      </c>
      <c r="L41" s="100"/>
      <c r="M41" s="7">
        <v>430000</v>
      </c>
      <c r="N41" s="975"/>
      <c r="O41" s="1036">
        <f t="shared" si="3"/>
        <v>117500</v>
      </c>
      <c r="P41" s="963">
        <f t="shared" si="4"/>
        <v>-195000</v>
      </c>
      <c r="Q41" s="963">
        <f t="shared" si="5"/>
        <v>31250</v>
      </c>
      <c r="R41" s="963">
        <f t="shared" si="6"/>
        <v>343750</v>
      </c>
    </row>
    <row r="42" spans="1:18">
      <c r="A42" s="101" t="s">
        <v>130</v>
      </c>
      <c r="B42" s="98"/>
      <c r="C42" s="102" t="s">
        <v>129</v>
      </c>
      <c r="D42" s="100"/>
      <c r="E42" s="157">
        <v>2430082.5299999998</v>
      </c>
      <c r="F42" s="100"/>
      <c r="G42" s="7">
        <v>1746560.92</v>
      </c>
      <c r="H42" s="111"/>
      <c r="I42" s="7">
        <f>K42-G42</f>
        <v>3690939.08</v>
      </c>
      <c r="J42" s="100"/>
      <c r="K42" s="7">
        <v>5437500</v>
      </c>
      <c r="L42" s="100"/>
      <c r="M42" s="7">
        <v>4500000</v>
      </c>
      <c r="N42" s="975"/>
      <c r="O42" s="1036">
        <f t="shared" si="3"/>
        <v>-937500</v>
      </c>
      <c r="P42" s="963">
        <f t="shared" si="4"/>
        <v>-6375000</v>
      </c>
      <c r="Q42" s="963">
        <f t="shared" si="5"/>
        <v>543750</v>
      </c>
      <c r="R42" s="963">
        <f t="shared" si="6"/>
        <v>5981250</v>
      </c>
    </row>
    <row r="43" spans="1:18">
      <c r="A43" s="101" t="s">
        <v>497</v>
      </c>
      <c r="B43" s="98"/>
      <c r="C43" s="102" t="s">
        <v>174</v>
      </c>
      <c r="D43" s="100"/>
      <c r="E43" s="157">
        <v>30000</v>
      </c>
      <c r="F43" s="100"/>
      <c r="G43" s="7">
        <v>33384.22</v>
      </c>
      <c r="H43" s="111"/>
      <c r="I43" s="7">
        <f>K43-G43</f>
        <v>74365.78</v>
      </c>
      <c r="J43" s="100"/>
      <c r="K43" s="7">
        <f>8000+6000+93750</f>
        <v>107750</v>
      </c>
      <c r="L43" s="100"/>
      <c r="M43" s="7">
        <v>80000</v>
      </c>
      <c r="N43" s="975"/>
      <c r="O43" s="1036">
        <f t="shared" si="3"/>
        <v>-27750</v>
      </c>
      <c r="P43" s="963">
        <f t="shared" si="4"/>
        <v>-135500</v>
      </c>
    </row>
    <row r="44" spans="1:18">
      <c r="A44" s="101" t="s">
        <v>163</v>
      </c>
      <c r="B44" s="98"/>
      <c r="C44" s="102" t="s">
        <v>133</v>
      </c>
      <c r="D44" s="100"/>
      <c r="E44" s="157">
        <v>30000</v>
      </c>
      <c r="F44" s="100"/>
      <c r="G44" s="7">
        <v>15000</v>
      </c>
      <c r="H44" s="111"/>
      <c r="I44" s="7">
        <f t="shared" si="2"/>
        <v>25000</v>
      </c>
      <c r="J44" s="100"/>
      <c r="K44" s="7">
        <v>40000</v>
      </c>
      <c r="L44" s="100"/>
      <c r="M44" s="7">
        <v>40000</v>
      </c>
      <c r="N44" s="975"/>
      <c r="O44" s="1036">
        <f t="shared" si="3"/>
        <v>0</v>
      </c>
      <c r="P44" s="963">
        <f t="shared" si="4"/>
        <v>-40000</v>
      </c>
      <c r="Q44" s="963">
        <f t="shared" si="5"/>
        <v>4000</v>
      </c>
      <c r="R44" s="963">
        <f t="shared" si="6"/>
        <v>44000</v>
      </c>
    </row>
    <row r="45" spans="1:18">
      <c r="A45" s="101" t="s">
        <v>135</v>
      </c>
      <c r="B45" s="98"/>
      <c r="C45" s="102" t="s">
        <v>134</v>
      </c>
      <c r="D45" s="100"/>
      <c r="E45" s="157">
        <v>35279.81</v>
      </c>
      <c r="F45" s="100"/>
      <c r="G45" s="7">
        <v>11596</v>
      </c>
      <c r="H45" s="111"/>
      <c r="I45" s="7">
        <f t="shared" si="2"/>
        <v>24404</v>
      </c>
      <c r="J45" s="100"/>
      <c r="K45" s="7">
        <v>36000</v>
      </c>
      <c r="L45" s="100"/>
      <c r="M45" s="7">
        <v>36000</v>
      </c>
      <c r="N45" s="975"/>
      <c r="O45" s="1036">
        <f t="shared" si="3"/>
        <v>0</v>
      </c>
      <c r="P45" s="963">
        <f t="shared" si="4"/>
        <v>-36000</v>
      </c>
      <c r="Q45" s="963">
        <f t="shared" si="5"/>
        <v>3600</v>
      </c>
      <c r="R45" s="963">
        <f t="shared" si="6"/>
        <v>39600</v>
      </c>
    </row>
    <row r="46" spans="1:18">
      <c r="A46" s="101" t="s">
        <v>138</v>
      </c>
      <c r="B46" s="98"/>
      <c r="C46" s="102" t="s">
        <v>137</v>
      </c>
      <c r="D46" s="100"/>
      <c r="E46" s="157">
        <v>11000</v>
      </c>
      <c r="F46" s="100"/>
      <c r="G46" s="7">
        <v>480</v>
      </c>
      <c r="H46" s="111"/>
      <c r="I46" s="7">
        <f t="shared" si="2"/>
        <v>69520</v>
      </c>
      <c r="J46" s="100"/>
      <c r="K46" s="7">
        <v>70000</v>
      </c>
      <c r="L46" s="100"/>
      <c r="M46" s="7">
        <v>40000</v>
      </c>
      <c r="N46" s="975"/>
      <c r="O46" s="1036">
        <f t="shared" si="3"/>
        <v>-30000</v>
      </c>
      <c r="P46" s="963">
        <f t="shared" si="4"/>
        <v>-100000</v>
      </c>
    </row>
    <row r="47" spans="1:18">
      <c r="A47" s="101" t="s">
        <v>142</v>
      </c>
      <c r="B47" s="98"/>
      <c r="C47" s="102" t="s">
        <v>141</v>
      </c>
      <c r="D47" s="100"/>
      <c r="E47" s="157">
        <v>9550</v>
      </c>
      <c r="F47" s="100"/>
      <c r="G47" s="7">
        <v>12050</v>
      </c>
      <c r="H47" s="111"/>
      <c r="I47" s="7">
        <f t="shared" si="2"/>
        <v>87950</v>
      </c>
      <c r="J47" s="100"/>
      <c r="K47" s="7">
        <v>100000</v>
      </c>
      <c r="L47" s="100"/>
      <c r="M47" s="7">
        <v>70000</v>
      </c>
      <c r="N47" s="975"/>
      <c r="O47" s="1036">
        <f t="shared" si="3"/>
        <v>-30000</v>
      </c>
      <c r="P47" s="963">
        <f t="shared" si="4"/>
        <v>-130000</v>
      </c>
      <c r="Q47" s="963">
        <f t="shared" si="5"/>
        <v>10000</v>
      </c>
      <c r="R47" s="963">
        <f t="shared" si="6"/>
        <v>110000</v>
      </c>
    </row>
    <row r="48" spans="1:18">
      <c r="A48" s="101" t="s">
        <v>242</v>
      </c>
      <c r="B48" s="98"/>
      <c r="C48" s="102" t="s">
        <v>176</v>
      </c>
      <c r="D48" s="100"/>
      <c r="E48" s="157">
        <v>285615.44</v>
      </c>
      <c r="F48" s="100"/>
      <c r="G48" s="7">
        <v>226205.94</v>
      </c>
      <c r="H48" s="111"/>
      <c r="I48" s="7">
        <f t="shared" si="2"/>
        <v>773794.06</v>
      </c>
      <c r="J48" s="100"/>
      <c r="K48" s="7">
        <v>1000000</v>
      </c>
      <c r="L48" s="100"/>
      <c r="M48" s="7">
        <v>700000</v>
      </c>
      <c r="N48" s="975"/>
      <c r="O48" s="1036">
        <f t="shared" si="3"/>
        <v>-300000</v>
      </c>
      <c r="P48" s="963">
        <f t="shared" si="4"/>
        <v>-1300000</v>
      </c>
      <c r="Q48" s="963">
        <f t="shared" si="5"/>
        <v>100000</v>
      </c>
      <c r="R48" s="963">
        <f t="shared" si="6"/>
        <v>1100000</v>
      </c>
    </row>
    <row r="49" spans="1:18">
      <c r="A49" s="101" t="s">
        <v>145</v>
      </c>
      <c r="B49" s="98"/>
      <c r="C49" s="102" t="s">
        <v>144</v>
      </c>
      <c r="D49" s="100"/>
      <c r="E49" s="157">
        <v>2056309.07</v>
      </c>
      <c r="F49" s="100"/>
      <c r="G49" s="7">
        <v>145047.53</v>
      </c>
      <c r="H49" s="111"/>
      <c r="I49" s="7">
        <f t="shared" si="2"/>
        <v>4492452.47</v>
      </c>
      <c r="J49" s="100"/>
      <c r="K49" s="7">
        <v>4637500</v>
      </c>
      <c r="L49" s="100"/>
      <c r="M49" s="7">
        <v>3800000</v>
      </c>
      <c r="N49" s="975"/>
      <c r="O49" s="1036">
        <f t="shared" si="3"/>
        <v>-837500</v>
      </c>
      <c r="P49" s="963">
        <f t="shared" si="4"/>
        <v>-5475000</v>
      </c>
      <c r="Q49" s="963">
        <f t="shared" si="5"/>
        <v>463750</v>
      </c>
      <c r="R49" s="963">
        <f t="shared" si="6"/>
        <v>5101250</v>
      </c>
    </row>
    <row r="50" spans="1:18">
      <c r="A50" s="101" t="s">
        <v>33</v>
      </c>
      <c r="B50" s="119"/>
      <c r="C50" s="102" t="s">
        <v>148</v>
      </c>
      <c r="D50" s="100"/>
      <c r="E50" s="157"/>
      <c r="F50" s="100"/>
      <c r="G50" s="7"/>
      <c r="H50" s="111"/>
      <c r="I50" s="7">
        <f t="shared" si="2"/>
        <v>0</v>
      </c>
      <c r="J50" s="100"/>
      <c r="K50" s="7">
        <v>0</v>
      </c>
      <c r="L50" s="100"/>
      <c r="M50" s="7">
        <v>0</v>
      </c>
      <c r="N50" s="975"/>
      <c r="O50" s="996">
        <v>0</v>
      </c>
      <c r="P50" s="963">
        <f t="shared" si="4"/>
        <v>0</v>
      </c>
      <c r="Q50" s="963">
        <f t="shared" si="5"/>
        <v>0</v>
      </c>
      <c r="R50" s="963">
        <f t="shared" si="6"/>
        <v>0</v>
      </c>
    </row>
    <row r="51" spans="1:18">
      <c r="A51" s="101"/>
      <c r="B51" s="7" t="s">
        <v>342</v>
      </c>
      <c r="C51" s="102"/>
      <c r="D51" s="100"/>
      <c r="E51" s="157">
        <v>3410000</v>
      </c>
      <c r="F51" s="100"/>
      <c r="G51" s="7">
        <v>1544676.92</v>
      </c>
      <c r="H51" s="111"/>
      <c r="I51" s="7">
        <f t="shared" si="2"/>
        <v>1990823.08</v>
      </c>
      <c r="J51" s="100"/>
      <c r="K51" s="7">
        <v>3535500</v>
      </c>
      <c r="L51" s="100"/>
      <c r="M51" s="7">
        <v>3565500</v>
      </c>
      <c r="N51" s="975"/>
      <c r="O51" s="1036">
        <f t="shared" ref="O51:O53" si="7">M51-K51</f>
        <v>30000</v>
      </c>
      <c r="P51" s="963">
        <f t="shared" si="4"/>
        <v>-3505500</v>
      </c>
      <c r="Q51" s="963">
        <f t="shared" si="5"/>
        <v>353550</v>
      </c>
      <c r="R51" s="963">
        <f t="shared" si="6"/>
        <v>3889050</v>
      </c>
    </row>
    <row r="52" spans="1:18">
      <c r="A52" s="101"/>
      <c r="B52" s="7" t="s">
        <v>1331</v>
      </c>
      <c r="C52" s="102"/>
      <c r="D52" s="100"/>
      <c r="E52" s="7">
        <v>376337.75</v>
      </c>
      <c r="F52" s="111"/>
      <c r="G52" s="7">
        <v>0</v>
      </c>
      <c r="H52" s="111"/>
      <c r="I52" s="7">
        <f t="shared" ref="I52" si="8">K52-G52</f>
        <v>0</v>
      </c>
      <c r="J52" s="111"/>
      <c r="K52" s="7">
        <v>0</v>
      </c>
      <c r="L52" s="100"/>
      <c r="M52" s="7">
        <v>0</v>
      </c>
      <c r="N52" s="975"/>
      <c r="O52" s="1036">
        <f t="shared" si="7"/>
        <v>0</v>
      </c>
      <c r="P52" s="963">
        <f t="shared" ref="P52" si="9">O52-K52</f>
        <v>0</v>
      </c>
    </row>
    <row r="53" spans="1:18">
      <c r="A53" s="101"/>
      <c r="B53" s="7" t="s">
        <v>743</v>
      </c>
      <c r="C53" s="102"/>
      <c r="D53" s="100"/>
      <c r="E53" s="7">
        <v>101245.98</v>
      </c>
      <c r="F53" s="111"/>
      <c r="G53" s="105">
        <v>18965.11</v>
      </c>
      <c r="H53" s="111"/>
      <c r="I53" s="7">
        <f t="shared" si="2"/>
        <v>231034.89</v>
      </c>
      <c r="J53" s="111"/>
      <c r="K53" s="105">
        <v>250000</v>
      </c>
      <c r="L53" s="104"/>
      <c r="M53" s="105">
        <v>150000</v>
      </c>
      <c r="N53" s="975"/>
      <c r="O53" s="1036">
        <f t="shared" si="7"/>
        <v>-100000</v>
      </c>
      <c r="P53" s="963">
        <f t="shared" si="4"/>
        <v>-350000</v>
      </c>
    </row>
    <row r="54" spans="1:18">
      <c r="A54" s="1325" t="s">
        <v>13</v>
      </c>
      <c r="B54" s="1326"/>
      <c r="C54" s="102"/>
      <c r="D54" s="144" t="s">
        <v>15</v>
      </c>
      <c r="E54" s="174">
        <f>SUM(E39:E53)</f>
        <v>8938916.7300000004</v>
      </c>
      <c r="F54" s="144" t="s">
        <v>15</v>
      </c>
      <c r="G54" s="174">
        <f>SUM(G39:G53)</f>
        <v>4120919.6399999997</v>
      </c>
      <c r="H54" s="144" t="s">
        <v>15</v>
      </c>
      <c r="I54" s="174">
        <f>SUM(I39:I53)</f>
        <v>12343330.360000001</v>
      </c>
      <c r="J54" s="144" t="s">
        <v>15</v>
      </c>
      <c r="K54" s="174">
        <f>SUM(K39:K53)</f>
        <v>16464250</v>
      </c>
      <c r="L54" s="144" t="s">
        <v>15</v>
      </c>
      <c r="M54" s="174">
        <f>SUM(M39:M53)</f>
        <v>14111500</v>
      </c>
      <c r="N54" s="997" t="s">
        <v>15</v>
      </c>
      <c r="O54" s="1037">
        <f>SUM(O39:O53)</f>
        <v>-2352750</v>
      </c>
      <c r="P54" s="1033">
        <f>SUM(P39:P53)</f>
        <v>-18817000</v>
      </c>
    </row>
    <row r="55" spans="1:18">
      <c r="A55" s="121" t="s">
        <v>283</v>
      </c>
      <c r="B55" s="772"/>
      <c r="C55" s="102"/>
      <c r="D55" s="144"/>
      <c r="E55" s="174"/>
      <c r="F55" s="144"/>
      <c r="G55" s="174"/>
      <c r="H55" s="144"/>
      <c r="I55" s="174"/>
      <c r="J55" s="144"/>
      <c r="K55" s="174"/>
      <c r="L55" s="144"/>
      <c r="M55" s="174"/>
      <c r="N55" s="997"/>
      <c r="O55" s="1037"/>
    </row>
    <row r="56" spans="1:18">
      <c r="A56" s="124" t="s">
        <v>152</v>
      </c>
      <c r="B56" s="337"/>
      <c r="C56" s="102" t="s">
        <v>150</v>
      </c>
      <c r="D56" s="122"/>
      <c r="E56" s="7"/>
      <c r="F56" s="122"/>
      <c r="G56" s="7"/>
      <c r="H56" s="122"/>
      <c r="I56" s="7"/>
      <c r="J56" s="122"/>
      <c r="K56" s="7"/>
      <c r="L56" s="122"/>
      <c r="M56" s="7"/>
      <c r="N56" s="977"/>
      <c r="O56" s="996"/>
    </row>
    <row r="57" spans="1:18">
      <c r="A57" s="124" t="s">
        <v>1017</v>
      </c>
      <c r="B57" s="340"/>
      <c r="C57" s="102"/>
      <c r="D57" s="122"/>
      <c r="E57" s="7"/>
      <c r="F57" s="122"/>
      <c r="G57" s="7">
        <v>0</v>
      </c>
      <c r="H57" s="122"/>
      <c r="I57" s="7">
        <f t="shared" ref="I57:I71" si="10">K57-G57</f>
        <v>25000</v>
      </c>
      <c r="J57" s="122"/>
      <c r="K57" s="7">
        <v>25000</v>
      </c>
      <c r="L57" s="122"/>
      <c r="M57" s="7">
        <v>0</v>
      </c>
      <c r="N57" s="977"/>
      <c r="O57" s="996">
        <v>0</v>
      </c>
    </row>
    <row r="58" spans="1:18">
      <c r="A58" s="124" t="s">
        <v>409</v>
      </c>
      <c r="B58" s="879"/>
      <c r="C58" s="102" t="s">
        <v>151</v>
      </c>
      <c r="D58" s="122"/>
      <c r="E58" s="7"/>
      <c r="F58" s="122"/>
      <c r="G58" s="7"/>
      <c r="H58" s="122"/>
      <c r="I58" s="7">
        <f t="shared" ref="I58:I61" si="11">K58-G58</f>
        <v>0</v>
      </c>
      <c r="J58" s="122"/>
      <c r="K58" s="7"/>
      <c r="L58" s="122"/>
      <c r="M58" s="7"/>
      <c r="N58" s="977"/>
      <c r="O58" s="996"/>
    </row>
    <row r="59" spans="1:18" ht="18.600000000000001" customHeight="1">
      <c r="A59" s="124" t="s">
        <v>1197</v>
      </c>
      <c r="B59" s="879"/>
      <c r="C59" s="102"/>
      <c r="D59" s="122"/>
      <c r="E59" s="7"/>
      <c r="F59" s="122"/>
      <c r="G59" s="7">
        <v>0</v>
      </c>
      <c r="H59" s="122"/>
      <c r="I59" s="7">
        <f t="shared" si="11"/>
        <v>50000</v>
      </c>
      <c r="J59" s="122"/>
      <c r="K59" s="7">
        <v>50000</v>
      </c>
      <c r="L59" s="122"/>
      <c r="M59" s="7">
        <v>0</v>
      </c>
      <c r="N59" s="977"/>
      <c r="O59" s="996">
        <v>0</v>
      </c>
    </row>
    <row r="60" spans="1:18">
      <c r="A60" s="124" t="s">
        <v>1084</v>
      </c>
      <c r="B60" s="879"/>
      <c r="C60" s="102"/>
      <c r="D60" s="122"/>
      <c r="E60" s="7"/>
      <c r="F60" s="122"/>
      <c r="G60" s="7">
        <v>0</v>
      </c>
      <c r="H60" s="122"/>
      <c r="I60" s="7">
        <f t="shared" si="11"/>
        <v>300000</v>
      </c>
      <c r="J60" s="122"/>
      <c r="K60" s="7">
        <v>300000</v>
      </c>
      <c r="L60" s="122"/>
      <c r="M60" s="7">
        <v>0</v>
      </c>
      <c r="N60" s="977"/>
      <c r="O60" s="996">
        <v>0</v>
      </c>
    </row>
    <row r="61" spans="1:18">
      <c r="A61" s="124" t="s">
        <v>1016</v>
      </c>
      <c r="B61" s="879"/>
      <c r="C61" s="102"/>
      <c r="D61" s="122"/>
      <c r="E61" s="7"/>
      <c r="F61" s="122"/>
      <c r="G61" s="7">
        <v>0</v>
      </c>
      <c r="H61" s="122"/>
      <c r="I61" s="7">
        <f t="shared" si="11"/>
        <v>180000</v>
      </c>
      <c r="J61" s="122"/>
      <c r="K61" s="7">
        <v>180000</v>
      </c>
      <c r="L61" s="122"/>
      <c r="M61" s="7">
        <v>0</v>
      </c>
      <c r="N61" s="977"/>
      <c r="O61" s="996">
        <v>0</v>
      </c>
    </row>
    <row r="62" spans="1:18">
      <c r="A62" s="124" t="s">
        <v>1332</v>
      </c>
      <c r="B62" s="337"/>
      <c r="C62" s="102" t="s">
        <v>997</v>
      </c>
      <c r="D62" s="122"/>
      <c r="E62" s="7"/>
      <c r="F62" s="122"/>
      <c r="G62" s="7"/>
      <c r="H62" s="122"/>
      <c r="I62" s="7">
        <f t="shared" si="10"/>
        <v>0</v>
      </c>
      <c r="J62" s="122"/>
      <c r="K62" s="7"/>
      <c r="L62" s="122"/>
      <c r="M62" s="7"/>
      <c r="N62" s="977"/>
      <c r="O62" s="996"/>
    </row>
    <row r="63" spans="1:18" ht="42.6" customHeight="1">
      <c r="A63" s="1379" t="s">
        <v>1333</v>
      </c>
      <c r="B63" s="1380"/>
      <c r="C63" s="102"/>
      <c r="D63" s="122"/>
      <c r="E63" s="7">
        <v>17078135.989999998</v>
      </c>
      <c r="F63" s="122"/>
      <c r="G63" s="7">
        <v>0</v>
      </c>
      <c r="H63" s="122"/>
      <c r="I63" s="7">
        <f t="shared" ref="I63" si="12">K63-G63</f>
        <v>0</v>
      </c>
      <c r="J63" s="122"/>
      <c r="K63" s="7">
        <v>0</v>
      </c>
      <c r="L63" s="122"/>
      <c r="M63" s="7">
        <v>0</v>
      </c>
      <c r="N63" s="977"/>
      <c r="O63" s="996">
        <v>0</v>
      </c>
    </row>
    <row r="64" spans="1:18" ht="42.6" customHeight="1">
      <c r="A64" s="1381" t="s">
        <v>1334</v>
      </c>
      <c r="B64" s="1382"/>
      <c r="C64" s="113"/>
      <c r="D64" s="125"/>
      <c r="E64" s="105">
        <v>3873969.86</v>
      </c>
      <c r="F64" s="125"/>
      <c r="G64" s="105">
        <v>0</v>
      </c>
      <c r="H64" s="125"/>
      <c r="I64" s="105">
        <f t="shared" si="10"/>
        <v>0</v>
      </c>
      <c r="J64" s="125"/>
      <c r="K64" s="105">
        <v>0</v>
      </c>
      <c r="L64" s="125"/>
      <c r="M64" s="105">
        <v>0</v>
      </c>
      <c r="N64" s="977"/>
      <c r="O64" s="996">
        <v>0</v>
      </c>
    </row>
    <row r="65" spans="1:22" ht="42.6" customHeight="1">
      <c r="A65" s="1379" t="s">
        <v>1335</v>
      </c>
      <c r="B65" s="1380"/>
      <c r="C65" s="102"/>
      <c r="D65" s="122"/>
      <c r="E65" s="7">
        <v>3817215.92</v>
      </c>
      <c r="F65" s="122"/>
      <c r="G65" s="7">
        <v>0</v>
      </c>
      <c r="H65" s="122"/>
      <c r="I65" s="7">
        <f t="shared" ref="I65" si="13">K65-G65</f>
        <v>0</v>
      </c>
      <c r="J65" s="122"/>
      <c r="K65" s="7">
        <v>0</v>
      </c>
      <c r="L65" s="122"/>
      <c r="M65" s="7">
        <v>0</v>
      </c>
      <c r="N65" s="981"/>
      <c r="O65" s="1036">
        <v>0</v>
      </c>
    </row>
    <row r="66" spans="1:22" ht="42.6" customHeight="1">
      <c r="A66" s="1379" t="s">
        <v>1336</v>
      </c>
      <c r="B66" s="1380"/>
      <c r="C66" s="102"/>
      <c r="D66" s="122"/>
      <c r="E66" s="7">
        <v>6158199.8499999996</v>
      </c>
      <c r="F66" s="122"/>
      <c r="G66" s="7">
        <v>0</v>
      </c>
      <c r="H66" s="122"/>
      <c r="I66" s="7">
        <f t="shared" si="10"/>
        <v>0</v>
      </c>
      <c r="J66" s="122"/>
      <c r="K66" s="7">
        <v>0</v>
      </c>
      <c r="L66" s="122"/>
      <c r="M66" s="7">
        <v>0</v>
      </c>
      <c r="N66" s="977"/>
      <c r="O66" s="996">
        <v>0</v>
      </c>
    </row>
    <row r="67" spans="1:22" ht="42.6" customHeight="1">
      <c r="A67" s="1379" t="s">
        <v>1337</v>
      </c>
      <c r="B67" s="1380"/>
      <c r="C67" s="102"/>
      <c r="D67" s="122"/>
      <c r="E67" s="7">
        <v>4025875.11</v>
      </c>
      <c r="F67" s="122"/>
      <c r="G67" s="7">
        <v>0</v>
      </c>
      <c r="H67" s="122"/>
      <c r="I67" s="7">
        <f t="shared" ref="I67" si="14">K67-G67</f>
        <v>0</v>
      </c>
      <c r="J67" s="122"/>
      <c r="K67" s="7">
        <v>0</v>
      </c>
      <c r="L67" s="122"/>
      <c r="M67" s="7">
        <v>0</v>
      </c>
      <c r="N67" s="977"/>
      <c r="O67" s="996">
        <v>0</v>
      </c>
    </row>
    <row r="68" spans="1:22" ht="42.6" customHeight="1">
      <c r="A68" s="1379" t="s">
        <v>1338</v>
      </c>
      <c r="B68" s="1380"/>
      <c r="C68" s="102"/>
      <c r="D68" s="122"/>
      <c r="E68" s="7">
        <v>5073325.3600000003</v>
      </c>
      <c r="F68" s="122"/>
      <c r="G68" s="7">
        <v>0</v>
      </c>
      <c r="H68" s="122"/>
      <c r="I68" s="7">
        <f t="shared" si="10"/>
        <v>0</v>
      </c>
      <c r="J68" s="122"/>
      <c r="K68" s="7">
        <v>0</v>
      </c>
      <c r="L68" s="122"/>
      <c r="M68" s="7">
        <v>0</v>
      </c>
      <c r="N68" s="977"/>
      <c r="O68" s="996">
        <v>0</v>
      </c>
    </row>
    <row r="69" spans="1:22" ht="31.9" customHeight="1">
      <c r="A69" s="1379" t="s">
        <v>1339</v>
      </c>
      <c r="B69" s="1380"/>
      <c r="C69" s="102"/>
      <c r="D69" s="122"/>
      <c r="E69" s="7">
        <v>4920764.4800000004</v>
      </c>
      <c r="F69" s="122"/>
      <c r="G69" s="7">
        <v>0</v>
      </c>
      <c r="H69" s="122"/>
      <c r="I69" s="7">
        <f t="shared" ref="I69" si="15">K69-G69</f>
        <v>0</v>
      </c>
      <c r="J69" s="122"/>
      <c r="K69" s="7">
        <v>0</v>
      </c>
      <c r="L69" s="122"/>
      <c r="M69" s="7">
        <v>0</v>
      </c>
      <c r="N69" s="977"/>
      <c r="O69" s="996">
        <v>0</v>
      </c>
    </row>
    <row r="70" spans="1:22">
      <c r="A70" s="124" t="s">
        <v>1340</v>
      </c>
      <c r="B70" s="879"/>
      <c r="C70" s="102" t="s">
        <v>341</v>
      </c>
      <c r="D70" s="122"/>
      <c r="E70" s="7"/>
      <c r="F70" s="122"/>
      <c r="G70" s="7"/>
      <c r="H70" s="122"/>
      <c r="I70" s="7">
        <f t="shared" si="10"/>
        <v>0</v>
      </c>
      <c r="J70" s="122"/>
      <c r="K70" s="7">
        <v>0</v>
      </c>
      <c r="L70" s="122"/>
      <c r="M70" s="7"/>
      <c r="N70" s="977"/>
      <c r="O70" s="996">
        <v>0</v>
      </c>
    </row>
    <row r="71" spans="1:22">
      <c r="A71" s="124" t="s">
        <v>1341</v>
      </c>
      <c r="B71" s="790"/>
      <c r="C71" s="102"/>
      <c r="D71" s="122"/>
      <c r="E71" s="7">
        <v>141675.75</v>
      </c>
      <c r="F71" s="122"/>
      <c r="G71" s="7">
        <v>0</v>
      </c>
      <c r="H71" s="122"/>
      <c r="I71" s="7">
        <f t="shared" si="10"/>
        <v>0</v>
      </c>
      <c r="J71" s="122"/>
      <c r="K71" s="105">
        <v>0</v>
      </c>
      <c r="L71" s="125"/>
      <c r="M71" s="105">
        <v>0</v>
      </c>
      <c r="N71" s="977"/>
      <c r="O71" s="996">
        <v>0</v>
      </c>
    </row>
    <row r="72" spans="1:22">
      <c r="A72" s="1325" t="s">
        <v>16</v>
      </c>
      <c r="B72" s="1326"/>
      <c r="C72" s="102"/>
      <c r="D72" s="109" t="s">
        <v>15</v>
      </c>
      <c r="E72" s="110">
        <f>SUM(E56:E71)</f>
        <v>45089162.319999993</v>
      </c>
      <c r="F72" s="109" t="s">
        <v>15</v>
      </c>
      <c r="G72" s="110">
        <f>SUM(G56:G71)</f>
        <v>0</v>
      </c>
      <c r="H72" s="109" t="s">
        <v>15</v>
      </c>
      <c r="I72" s="110">
        <f>SUM(I56:I71)</f>
        <v>555000</v>
      </c>
      <c r="J72" s="109" t="s">
        <v>15</v>
      </c>
      <c r="K72" s="110">
        <f>SUM(K56:K71)</f>
        <v>555000</v>
      </c>
      <c r="L72" s="109" t="s">
        <v>15</v>
      </c>
      <c r="M72" s="110">
        <f>SUM(M56:M71)</f>
        <v>0</v>
      </c>
      <c r="N72" s="977" t="s">
        <v>15</v>
      </c>
      <c r="O72" s="1033">
        <f>M72-K72</f>
        <v>-555000</v>
      </c>
      <c r="P72" s="963">
        <f>O72-K72</f>
        <v>-1110000</v>
      </c>
    </row>
    <row r="73" spans="1:22" ht="1.5" customHeight="1">
      <c r="A73" s="101"/>
      <c r="B73" s="98"/>
      <c r="C73" s="102"/>
      <c r="D73" s="100"/>
      <c r="E73" s="7"/>
      <c r="F73" s="100"/>
      <c r="G73" s="7"/>
      <c r="H73" s="100"/>
      <c r="I73" s="7"/>
      <c r="J73" s="100"/>
      <c r="K73" s="7"/>
      <c r="L73" s="100"/>
      <c r="M73" s="7"/>
      <c r="N73" s="971"/>
      <c r="O73" s="1035"/>
    </row>
    <row r="74" spans="1:22" ht="15" customHeight="1">
      <c r="A74" s="1336" t="s">
        <v>277</v>
      </c>
      <c r="B74" s="1337"/>
      <c r="C74" s="113"/>
      <c r="D74" s="125" t="s">
        <v>15</v>
      </c>
      <c r="E74" s="126">
        <f>E54+E37+E72</f>
        <v>66197391.609999992</v>
      </c>
      <c r="F74" s="125" t="s">
        <v>15</v>
      </c>
      <c r="G74" s="126">
        <f>G72+G54+G37</f>
        <v>10522376.169999998</v>
      </c>
      <c r="H74" s="125" t="s">
        <v>15</v>
      </c>
      <c r="I74" s="126">
        <f>I72+I54+I37</f>
        <v>21632910.830000002</v>
      </c>
      <c r="J74" s="125" t="s">
        <v>15</v>
      </c>
      <c r="K74" s="126">
        <f>K72+K54+K37</f>
        <v>32155287</v>
      </c>
      <c r="L74" s="125" t="s">
        <v>15</v>
      </c>
      <c r="M74" s="126">
        <f>M72+M54+M37</f>
        <v>29880469</v>
      </c>
      <c r="N74" s="981" t="s">
        <v>15</v>
      </c>
      <c r="O74" s="1044">
        <f>O72+O54+O37</f>
        <v>-2907750</v>
      </c>
      <c r="P74" s="1044">
        <f>P72+P54+P37</f>
        <v>-19927000</v>
      </c>
    </row>
    <row r="75" spans="1:22" ht="18.75" customHeight="1">
      <c r="A75" s="62" t="s">
        <v>1623</v>
      </c>
      <c r="B75" s="916"/>
      <c r="C75" s="915"/>
      <c r="D75" s="149"/>
      <c r="E75" s="175"/>
      <c r="F75" s="149"/>
      <c r="G75" s="175"/>
      <c r="H75" s="149"/>
      <c r="I75" s="175"/>
      <c r="J75" s="149"/>
      <c r="K75" s="175"/>
      <c r="L75" s="149"/>
      <c r="M75" s="175"/>
      <c r="N75" s="1002"/>
      <c r="O75" s="1039"/>
      <c r="P75" s="1039"/>
    </row>
    <row r="76" spans="1:22" s="127" customFormat="1" ht="19.5" customHeight="1">
      <c r="A76" s="127" t="s">
        <v>187</v>
      </c>
      <c r="C76" s="128" t="s">
        <v>188</v>
      </c>
      <c r="F76" s="129"/>
      <c r="I76" s="127" t="s">
        <v>190</v>
      </c>
      <c r="L76" s="129"/>
      <c r="N76" s="964"/>
      <c r="O76" s="985"/>
      <c r="P76" s="964"/>
      <c r="Q76" s="985"/>
      <c r="R76" s="1009"/>
      <c r="S76" s="1009"/>
      <c r="T76" s="1009"/>
      <c r="U76" s="1009"/>
      <c r="V76" s="130"/>
    </row>
    <row r="77" spans="1:22" ht="9.75" customHeight="1"/>
    <row r="78" spans="1:22" ht="10.5" customHeight="1"/>
    <row r="79" spans="1:22" ht="6" customHeight="1">
      <c r="A79" s="132" t="s">
        <v>216</v>
      </c>
      <c r="B79" s="132"/>
      <c r="C79" s="89"/>
      <c r="D79" s="131"/>
      <c r="E79" s="132"/>
      <c r="F79" s="132"/>
      <c r="G79" s="132"/>
      <c r="H79" s="132"/>
      <c r="I79" s="132"/>
      <c r="J79" s="132"/>
      <c r="K79" s="132"/>
      <c r="L79" s="132"/>
      <c r="M79" s="132"/>
      <c r="N79" s="986"/>
      <c r="O79" s="986"/>
    </row>
    <row r="80" spans="1:22" s="89" customFormat="1">
      <c r="A80" s="1323" t="s">
        <v>1619</v>
      </c>
      <c r="B80" s="1323"/>
      <c r="C80" s="1323" t="s">
        <v>1584</v>
      </c>
      <c r="D80" s="1323"/>
      <c r="E80" s="1323"/>
      <c r="F80" s="1323"/>
      <c r="G80" s="1323"/>
      <c r="H80" s="131"/>
      <c r="I80" s="1323" t="str">
        <f>MENRO!I106</f>
        <v>(Sgd.) ATTY. JOSE JOEL P. DOROMAL</v>
      </c>
      <c r="J80" s="1323"/>
      <c r="K80" s="1323"/>
      <c r="L80" s="1323"/>
      <c r="M80" s="1323"/>
      <c r="N80" s="986"/>
      <c r="O80" s="986"/>
      <c r="P80" s="965"/>
      <c r="Q80" s="965"/>
      <c r="R80" s="965"/>
      <c r="S80" s="965"/>
      <c r="T80" s="965"/>
      <c r="U80" s="965"/>
    </row>
    <row r="81" spans="1:15">
      <c r="A81" s="1322" t="s">
        <v>217</v>
      </c>
      <c r="B81" s="1322"/>
      <c r="C81" s="1322" t="s">
        <v>206</v>
      </c>
      <c r="D81" s="1322"/>
      <c r="E81" s="1322"/>
      <c r="F81" s="1322"/>
      <c r="G81" s="1322"/>
      <c r="I81" s="1322" t="s">
        <v>192</v>
      </c>
      <c r="J81" s="1322"/>
      <c r="K81" s="1322"/>
      <c r="L81" s="1322"/>
      <c r="M81" s="1322"/>
      <c r="N81" s="987"/>
      <c r="O81" s="987"/>
    </row>
    <row r="85" spans="1:15" s="961" customFormat="1">
      <c r="A85" s="961" t="s">
        <v>1083</v>
      </c>
      <c r="D85" s="966"/>
      <c r="F85" s="966"/>
      <c r="H85" s="966"/>
      <c r="J85" s="966"/>
      <c r="L85" s="966"/>
      <c r="N85" s="966"/>
    </row>
    <row r="86" spans="1:15" s="961" customFormat="1">
      <c r="D86" s="966"/>
      <c r="F86" s="966"/>
      <c r="H86" s="966"/>
      <c r="J86" s="966"/>
      <c r="L86" s="966"/>
      <c r="N86" s="966"/>
    </row>
    <row r="87" spans="1:15" s="961" customFormat="1">
      <c r="A87" s="961" t="s">
        <v>1078</v>
      </c>
      <c r="D87" s="966"/>
      <c r="F87" s="966"/>
      <c r="H87" s="966"/>
      <c r="J87" s="966"/>
      <c r="L87" s="966"/>
      <c r="N87" s="966"/>
    </row>
    <row r="88" spans="1:15" s="961" customFormat="1">
      <c r="D88" s="966"/>
      <c r="F88" s="966"/>
      <c r="H88" s="966"/>
      <c r="J88" s="966"/>
      <c r="L88" s="966"/>
      <c r="N88" s="966"/>
    </row>
    <row r="137" spans="1:1">
      <c r="A137" s="89" t="s">
        <v>295</v>
      </c>
    </row>
    <row r="139" spans="1:1">
      <c r="A139" s="86" t="s">
        <v>468</v>
      </c>
    </row>
    <row r="140" spans="1:1">
      <c r="A140" s="86" t="s">
        <v>250</v>
      </c>
    </row>
    <row r="141" spans="1:1">
      <c r="A141" s="86" t="s">
        <v>251</v>
      </c>
    </row>
    <row r="142" spans="1:1">
      <c r="A142" s="86" t="s">
        <v>469</v>
      </c>
    </row>
    <row r="143" spans="1:1">
      <c r="A143" s="86" t="s">
        <v>470</v>
      </c>
    </row>
    <row r="144" spans="1:1">
      <c r="A144" s="86" t="s">
        <v>254</v>
      </c>
    </row>
    <row r="145" spans="1:11">
      <c r="A145" s="86" t="s">
        <v>255</v>
      </c>
      <c r="K145" s="86" t="s">
        <v>296</v>
      </c>
    </row>
    <row r="146" spans="1:11">
      <c r="A146" s="86" t="s">
        <v>471</v>
      </c>
    </row>
    <row r="148" spans="1:11">
      <c r="A148" s="1357" t="s">
        <v>322</v>
      </c>
      <c r="B148" s="1358"/>
      <c r="C148" s="1358"/>
      <c r="D148" s="1358"/>
      <c r="E148" s="1359"/>
    </row>
    <row r="149" spans="1:11">
      <c r="A149" s="181"/>
      <c r="B149" s="92"/>
      <c r="C149" s="92"/>
      <c r="D149" s="116"/>
      <c r="E149" s="115"/>
    </row>
    <row r="150" spans="1:11">
      <c r="A150" s="1324" t="s">
        <v>60</v>
      </c>
      <c r="B150" s="1311"/>
      <c r="C150" s="108"/>
      <c r="D150" s="111"/>
      <c r="E150" s="98"/>
    </row>
    <row r="151" spans="1:11">
      <c r="A151" s="101" t="s">
        <v>233</v>
      </c>
      <c r="B151" s="108"/>
      <c r="C151" s="108"/>
      <c r="D151" s="111"/>
      <c r="E151" s="135" t="s">
        <v>300</v>
      </c>
    </row>
    <row r="152" spans="1:11">
      <c r="A152" s="101"/>
      <c r="B152" s="108"/>
      <c r="C152" s="108"/>
      <c r="D152" s="111"/>
      <c r="E152" s="98"/>
    </row>
    <row r="153" spans="1:11">
      <c r="A153" s="136" t="s">
        <v>61</v>
      </c>
      <c r="B153" s="108"/>
      <c r="C153" s="108"/>
      <c r="D153" s="111" t="s">
        <v>15</v>
      </c>
      <c r="E153" s="7">
        <v>181000</v>
      </c>
    </row>
    <row r="154" spans="1:11">
      <c r="A154" s="136" t="s">
        <v>76</v>
      </c>
      <c r="B154" s="108"/>
      <c r="C154" s="108"/>
      <c r="D154" s="111"/>
      <c r="E154" s="7">
        <v>287000</v>
      </c>
    </row>
    <row r="155" spans="1:11" ht="15.75">
      <c r="A155" s="136" t="s">
        <v>323</v>
      </c>
      <c r="B155" s="108"/>
      <c r="C155" s="108"/>
      <c r="D155" s="111"/>
      <c r="E155" s="137">
        <v>930000</v>
      </c>
    </row>
    <row r="156" spans="1:11">
      <c r="A156" s="1347" t="s">
        <v>64</v>
      </c>
      <c r="B156" s="1348"/>
      <c r="C156" s="90"/>
      <c r="D156" s="139" t="s">
        <v>15</v>
      </c>
      <c r="E156" s="105">
        <f>SUM(E153:E155)</f>
        <v>1398000</v>
      </c>
    </row>
  </sheetData>
  <sheetProtection algorithmName="SHA-512" hashValue="Cr4qP8LXx2U1BafNUQrycg/Xh70Iq+S+bvBaKvChMUJzThCJ/tcMESmMD3Qv3+J5dC2JJqAis6lDoVFspixlFQ==" saltValue="xL0VbmiJ/BnW5n+65vEJpw==" spinCount="100000" sheet="1" objects="1" scenarios="1"/>
  <mergeCells count="36">
    <mergeCell ref="A148:E148"/>
    <mergeCell ref="A150:B150"/>
    <mergeCell ref="A156:B156"/>
    <mergeCell ref="F12:G12"/>
    <mergeCell ref="D13:E13"/>
    <mergeCell ref="A81:B81"/>
    <mergeCell ref="A12:B12"/>
    <mergeCell ref="D12:E12"/>
    <mergeCell ref="C81:G81"/>
    <mergeCell ref="A74:B74"/>
    <mergeCell ref="A37:B37"/>
    <mergeCell ref="A54:B54"/>
    <mergeCell ref="A72:B72"/>
    <mergeCell ref="C80:G80"/>
    <mergeCell ref="A80:B80"/>
    <mergeCell ref="N11:O13"/>
    <mergeCell ref="J12:K13"/>
    <mergeCell ref="H12:I12"/>
    <mergeCell ref="H13:I13"/>
    <mergeCell ref="F13:G13"/>
    <mergeCell ref="L11:M11"/>
    <mergeCell ref="L12:M12"/>
    <mergeCell ref="L13:M13"/>
    <mergeCell ref="A3:M3"/>
    <mergeCell ref="A4:M4"/>
    <mergeCell ref="I80:M80"/>
    <mergeCell ref="I81:M81"/>
    <mergeCell ref="D11:E11"/>
    <mergeCell ref="F11:K11"/>
    <mergeCell ref="A69:B69"/>
    <mergeCell ref="A68:B68"/>
    <mergeCell ref="A67:B67"/>
    <mergeCell ref="A66:B66"/>
    <mergeCell ref="A65:B65"/>
    <mergeCell ref="A64:B64"/>
    <mergeCell ref="A63:B63"/>
  </mergeCells>
  <phoneticPr fontId="0" type="noConversion"/>
  <pageMargins left="7.8740157480315001E-2" right="0" top="0.59055118110236204" bottom="0.39370078740157499" header="0.39370078740157499" footer="0.511811023622047"/>
  <pageSetup paperSize="14" scale="97" fitToHeight="0" orientation="portrait" horizontalDpi="4294967293" verticalDpi="300" r:id="rId1"/>
  <headerFooter alignWithMargins="0">
    <oddHeader>&amp;RPage &amp;P of 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FF00"/>
  </sheetPr>
  <dimension ref="A1:V77"/>
  <sheetViews>
    <sheetView topLeftCell="A55" zoomScale="190" zoomScaleNormal="190" workbookViewId="0">
      <selection activeCell="N22" sqref="N22"/>
    </sheetView>
  </sheetViews>
  <sheetFormatPr defaultColWidth="9.140625" defaultRowHeight="13.5"/>
  <cols>
    <col min="1" max="1" width="11" style="227" customWidth="1"/>
    <col min="2" max="2" width="25" style="227" customWidth="1"/>
    <col min="3" max="3" width="9" style="227" customWidth="1"/>
    <col min="4" max="4" width="1.7109375" style="245" customWidth="1"/>
    <col min="5" max="5" width="10.28515625" style="227" customWidth="1"/>
    <col min="6" max="6" width="1.85546875" style="245" customWidth="1"/>
    <col min="7" max="7" width="9.7109375" style="227" customWidth="1"/>
    <col min="8" max="8" width="1.5703125" style="245" customWidth="1"/>
    <col min="9" max="9" width="10.28515625" style="227" customWidth="1"/>
    <col min="10" max="10" width="2.140625" style="245" customWidth="1"/>
    <col min="11" max="11" width="9.85546875" style="227" customWidth="1"/>
    <col min="12" max="12" width="1.42578125" style="245" customWidth="1"/>
    <col min="13" max="13" width="11.140625" style="227" customWidth="1"/>
    <col min="14" max="14" width="1.42578125" style="1069" hidden="1" customWidth="1"/>
    <col min="15" max="15" width="10.85546875" style="1070" hidden="1" customWidth="1"/>
    <col min="16" max="16" width="12" style="1070" hidden="1" customWidth="1"/>
    <col min="17" max="19" width="9.140625" style="1070"/>
    <col min="20" max="16384" width="9.140625" style="227"/>
  </cols>
  <sheetData>
    <row r="1" spans="1:20">
      <c r="A1" s="227" t="s">
        <v>186</v>
      </c>
    </row>
    <row r="2" spans="1:20" ht="9" customHeight="1"/>
    <row r="3" spans="1:20">
      <c r="A3" s="1360" t="s">
        <v>195</v>
      </c>
      <c r="B3" s="1360"/>
      <c r="C3" s="1360"/>
      <c r="D3" s="1360"/>
      <c r="E3" s="1360"/>
      <c r="F3" s="1360"/>
      <c r="G3" s="1360"/>
      <c r="H3" s="1360"/>
      <c r="I3" s="1360"/>
      <c r="J3" s="1360"/>
      <c r="K3" s="1360"/>
      <c r="L3" s="1360"/>
      <c r="M3" s="1360"/>
      <c r="N3" s="1360"/>
      <c r="O3" s="1360"/>
      <c r="P3" s="1073"/>
      <c r="Q3" s="1073"/>
      <c r="R3" s="1073"/>
      <c r="S3" s="1073"/>
      <c r="T3" s="266"/>
    </row>
    <row r="4" spans="1:20">
      <c r="A4" s="1360" t="s">
        <v>401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073"/>
      <c r="Q4" s="1073"/>
      <c r="R4" s="1073"/>
      <c r="S4" s="1073"/>
      <c r="T4" s="266"/>
    </row>
    <row r="5" spans="1:20" ht="10.5" customHeight="1"/>
    <row r="6" spans="1:20">
      <c r="A6" s="246" t="s">
        <v>85</v>
      </c>
      <c r="B6" s="247" t="s">
        <v>472</v>
      </c>
      <c r="C6" s="247"/>
      <c r="D6" s="267"/>
    </row>
    <row r="7" spans="1:20" hidden="1">
      <c r="A7" s="227" t="s">
        <v>2</v>
      </c>
      <c r="B7" s="247" t="s">
        <v>466</v>
      </c>
      <c r="C7" s="256"/>
      <c r="F7" s="1361"/>
      <c r="G7" s="1361"/>
      <c r="H7" s="1361"/>
      <c r="I7" s="1361"/>
      <c r="J7" s="1361"/>
      <c r="K7" s="1361"/>
      <c r="L7" s="1361"/>
      <c r="M7" s="1361"/>
      <c r="N7" s="1361"/>
      <c r="O7" s="1361"/>
    </row>
    <row r="8" spans="1:20" hidden="1">
      <c r="A8" s="227" t="s">
        <v>3</v>
      </c>
      <c r="B8" s="248" t="s">
        <v>467</v>
      </c>
      <c r="C8" s="248"/>
      <c r="D8" s="268"/>
      <c r="F8" s="227"/>
      <c r="H8" s="227"/>
      <c r="J8" s="227"/>
      <c r="L8" s="227"/>
      <c r="N8" s="1070"/>
    </row>
    <row r="9" spans="1:20" hidden="1">
      <c r="A9" s="227" t="s">
        <v>4</v>
      </c>
      <c r="B9" s="248" t="s">
        <v>404</v>
      </c>
      <c r="C9" s="248"/>
      <c r="D9" s="268"/>
    </row>
    <row r="10" spans="1:20">
      <c r="B10" s="269"/>
      <c r="C10" s="269"/>
      <c r="D10" s="270"/>
    </row>
    <row r="11" spans="1:20">
      <c r="A11" s="249"/>
      <c r="B11" s="250"/>
      <c r="C11" s="251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328" t="s">
        <v>494</v>
      </c>
      <c r="O11" s="1329"/>
    </row>
    <row r="12" spans="1:20">
      <c r="A12" s="1367" t="s">
        <v>34</v>
      </c>
      <c r="B12" s="1368"/>
      <c r="C12" s="252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330"/>
      <c r="O12" s="1331"/>
    </row>
    <row r="13" spans="1:20">
      <c r="A13" s="253"/>
      <c r="B13" s="254"/>
      <c r="C13" s="255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332"/>
      <c r="O13" s="1333"/>
    </row>
    <row r="14" spans="1:20" ht="12.75" customHeight="1">
      <c r="A14" s="228" t="s">
        <v>281</v>
      </c>
      <c r="B14" s="229"/>
      <c r="C14" s="230"/>
      <c r="D14" s="231"/>
      <c r="E14" s="141"/>
      <c r="F14" s="231"/>
      <c r="G14" s="141"/>
      <c r="H14" s="231"/>
      <c r="I14" s="141"/>
      <c r="J14" s="231"/>
      <c r="K14" s="141"/>
      <c r="L14" s="231"/>
      <c r="M14" s="141"/>
      <c r="N14" s="1076"/>
      <c r="O14" s="972"/>
    </row>
    <row r="15" spans="1:20" ht="12.75" customHeight="1">
      <c r="A15" s="232" t="s">
        <v>262</v>
      </c>
      <c r="B15" s="229"/>
      <c r="C15" s="230"/>
      <c r="D15" s="231"/>
      <c r="E15" s="141"/>
      <c r="F15" s="231"/>
      <c r="G15" s="141"/>
      <c r="H15" s="231"/>
      <c r="I15" s="141"/>
      <c r="J15" s="231"/>
      <c r="K15" s="141"/>
      <c r="L15" s="231"/>
      <c r="M15" s="141"/>
      <c r="N15" s="1076"/>
      <c r="O15" s="972"/>
    </row>
    <row r="16" spans="1:20" ht="12.75" customHeight="1">
      <c r="A16" s="232" t="s">
        <v>263</v>
      </c>
      <c r="B16" s="229"/>
      <c r="C16" s="233" t="s">
        <v>114</v>
      </c>
      <c r="D16" s="231" t="s">
        <v>15</v>
      </c>
      <c r="E16" s="271">
        <v>1502748.3</v>
      </c>
      <c r="F16" s="231" t="s">
        <v>15</v>
      </c>
      <c r="G16" s="271">
        <v>753900.51</v>
      </c>
      <c r="H16" s="231" t="s">
        <v>15</v>
      </c>
      <c r="I16" s="271">
        <f>K16-G16</f>
        <v>878159.49</v>
      </c>
      <c r="J16" s="231" t="s">
        <v>15</v>
      </c>
      <c r="K16" s="271">
        <v>1632060</v>
      </c>
      <c r="L16" s="231" t="s">
        <v>15</v>
      </c>
      <c r="M16" s="271">
        <v>1949880</v>
      </c>
      <c r="N16" s="1076" t="s">
        <v>15</v>
      </c>
      <c r="O16" s="1133">
        <v>0</v>
      </c>
    </row>
    <row r="17" spans="1:20" ht="12.75" customHeight="1">
      <c r="A17" s="232" t="s">
        <v>264</v>
      </c>
      <c r="B17" s="229"/>
      <c r="C17" s="233" t="s">
        <v>115</v>
      </c>
      <c r="D17" s="231"/>
      <c r="E17" s="271">
        <v>0</v>
      </c>
      <c r="F17" s="231"/>
      <c r="G17" s="271">
        <v>456289.38</v>
      </c>
      <c r="H17" s="231"/>
      <c r="I17" s="271">
        <f t="shared" ref="I17:I36" si="0">K17-G17</f>
        <v>569626.62</v>
      </c>
      <c r="J17" s="231"/>
      <c r="K17" s="271">
        <v>1025916</v>
      </c>
      <c r="L17" s="231"/>
      <c r="M17" s="271">
        <v>1025892</v>
      </c>
      <c r="N17" s="1076"/>
      <c r="O17" s="1133">
        <v>0</v>
      </c>
    </row>
    <row r="18" spans="1:20" ht="12.75" customHeight="1">
      <c r="A18" s="232" t="s">
        <v>265</v>
      </c>
      <c r="B18" s="229"/>
      <c r="C18" s="233"/>
      <c r="D18" s="231"/>
      <c r="E18" s="141"/>
      <c r="F18" s="231"/>
      <c r="G18" s="141"/>
      <c r="H18" s="231"/>
      <c r="I18" s="141"/>
      <c r="J18" s="231"/>
      <c r="K18" s="141"/>
      <c r="L18" s="231"/>
      <c r="M18" s="141"/>
      <c r="N18" s="1076"/>
      <c r="O18" s="972"/>
      <c r="P18" s="1134"/>
    </row>
    <row r="19" spans="1:20" ht="12.75" customHeight="1">
      <c r="A19" s="232" t="s">
        <v>266</v>
      </c>
      <c r="B19" s="229"/>
      <c r="C19" s="233" t="s">
        <v>116</v>
      </c>
      <c r="D19" s="231"/>
      <c r="E19" s="271">
        <v>48000</v>
      </c>
      <c r="F19" s="231"/>
      <c r="G19" s="271">
        <v>84089.24</v>
      </c>
      <c r="H19" s="231"/>
      <c r="I19" s="271">
        <f t="shared" si="0"/>
        <v>107910.76</v>
      </c>
      <c r="J19" s="231"/>
      <c r="K19" s="271">
        <v>192000</v>
      </c>
      <c r="L19" s="231"/>
      <c r="M19" s="271">
        <v>216000</v>
      </c>
      <c r="N19" s="1076"/>
      <c r="O19" s="1133">
        <v>0</v>
      </c>
    </row>
    <row r="20" spans="1:20" ht="12.75" customHeight="1">
      <c r="A20" s="232" t="s">
        <v>267</v>
      </c>
      <c r="B20" s="229"/>
      <c r="C20" s="233" t="s">
        <v>117</v>
      </c>
      <c r="D20" s="231"/>
      <c r="E20" s="271">
        <v>81000</v>
      </c>
      <c r="F20" s="231"/>
      <c r="G20" s="271">
        <v>40500</v>
      </c>
      <c r="H20" s="231"/>
      <c r="I20" s="271">
        <f t="shared" si="0"/>
        <v>40500</v>
      </c>
      <c r="J20" s="231"/>
      <c r="K20" s="271">
        <v>81000</v>
      </c>
      <c r="L20" s="231"/>
      <c r="M20" s="271">
        <v>81000</v>
      </c>
      <c r="N20" s="1076"/>
      <c r="O20" s="1133">
        <v>0</v>
      </c>
    </row>
    <row r="21" spans="1:20" ht="12.75" customHeight="1">
      <c r="A21" s="232" t="s">
        <v>268</v>
      </c>
      <c r="B21" s="273"/>
      <c r="C21" s="233" t="s">
        <v>118</v>
      </c>
      <c r="D21" s="231"/>
      <c r="E21" s="271">
        <v>81000</v>
      </c>
      <c r="F21" s="231"/>
      <c r="G21" s="271">
        <v>40500</v>
      </c>
      <c r="H21" s="231"/>
      <c r="I21" s="271">
        <f t="shared" si="0"/>
        <v>40500</v>
      </c>
      <c r="J21" s="231"/>
      <c r="K21" s="271">
        <v>81000</v>
      </c>
      <c r="L21" s="231"/>
      <c r="M21" s="271">
        <v>81000</v>
      </c>
      <c r="N21" s="1076"/>
      <c r="O21" s="1133">
        <v>0</v>
      </c>
    </row>
    <row r="22" spans="1:20" ht="12.75" customHeight="1">
      <c r="A22" s="232" t="s">
        <v>269</v>
      </c>
      <c r="B22" s="273"/>
      <c r="C22" s="233" t="s">
        <v>119</v>
      </c>
      <c r="D22" s="231"/>
      <c r="E22" s="271">
        <v>12000</v>
      </c>
      <c r="F22" s="231"/>
      <c r="G22" s="271">
        <v>18000</v>
      </c>
      <c r="H22" s="231"/>
      <c r="I22" s="271">
        <f t="shared" si="0"/>
        <v>30000</v>
      </c>
      <c r="J22" s="231"/>
      <c r="K22" s="271">
        <v>48000</v>
      </c>
      <c r="L22" s="231"/>
      <c r="M22" s="271">
        <v>54000</v>
      </c>
      <c r="N22" s="1076"/>
      <c r="O22" s="1133">
        <v>0</v>
      </c>
      <c r="T22" s="227" t="s">
        <v>11</v>
      </c>
    </row>
    <row r="23" spans="1:20" ht="12.75" customHeight="1">
      <c r="A23" s="232" t="s">
        <v>270</v>
      </c>
      <c r="B23" s="273"/>
      <c r="C23" s="233" t="s">
        <v>120</v>
      </c>
      <c r="D23" s="231"/>
      <c r="E23" s="271">
        <v>10000</v>
      </c>
      <c r="F23" s="231"/>
      <c r="G23" s="271">
        <v>0</v>
      </c>
      <c r="H23" s="231"/>
      <c r="I23" s="271">
        <f t="shared" si="0"/>
        <v>40000</v>
      </c>
      <c r="J23" s="231"/>
      <c r="K23" s="271">
        <v>40000</v>
      </c>
      <c r="L23" s="231"/>
      <c r="M23" s="271">
        <v>45000</v>
      </c>
      <c r="N23" s="1076"/>
      <c r="O23" s="1133">
        <v>0</v>
      </c>
    </row>
    <row r="24" spans="1:20" ht="12.75" customHeight="1">
      <c r="A24" s="232" t="s">
        <v>271</v>
      </c>
      <c r="B24" s="229"/>
      <c r="C24" s="233" t="s">
        <v>121</v>
      </c>
      <c r="D24" s="231"/>
      <c r="E24" s="271">
        <v>108286</v>
      </c>
      <c r="F24" s="231"/>
      <c r="G24" s="271">
        <v>0</v>
      </c>
      <c r="H24" s="231"/>
      <c r="I24" s="271">
        <f t="shared" si="0"/>
        <v>221498</v>
      </c>
      <c r="J24" s="231"/>
      <c r="K24" s="271">
        <v>221498</v>
      </c>
      <c r="L24" s="231"/>
      <c r="M24" s="271">
        <v>247981</v>
      </c>
      <c r="N24" s="1076"/>
      <c r="O24" s="1133">
        <v>0</v>
      </c>
    </row>
    <row r="25" spans="1:20" ht="12.75" customHeight="1">
      <c r="A25" s="232" t="s">
        <v>278</v>
      </c>
      <c r="B25" s="256"/>
      <c r="C25" s="233" t="s">
        <v>258</v>
      </c>
      <c r="D25" s="231"/>
      <c r="E25" s="271"/>
      <c r="F25" s="231"/>
      <c r="G25" s="271"/>
      <c r="H25" s="231"/>
      <c r="I25" s="271"/>
      <c r="J25" s="231"/>
      <c r="K25" s="271"/>
      <c r="L25" s="231"/>
      <c r="M25" s="271"/>
      <c r="N25" s="1076"/>
      <c r="O25" s="1133"/>
    </row>
    <row r="26" spans="1:20" ht="12.75" customHeight="1">
      <c r="A26" s="232" t="s">
        <v>279</v>
      </c>
      <c r="B26" s="256"/>
      <c r="C26" s="233"/>
      <c r="D26" s="231"/>
      <c r="E26" s="271">
        <v>147567.51999999999</v>
      </c>
      <c r="F26" s="231"/>
      <c r="G26" s="271">
        <v>169658.84</v>
      </c>
      <c r="H26" s="231"/>
      <c r="I26" s="271">
        <f>K26-G26</f>
        <v>51839.16</v>
      </c>
      <c r="J26" s="231"/>
      <c r="K26" s="271">
        <v>221498</v>
      </c>
      <c r="L26" s="231"/>
      <c r="M26" s="271">
        <v>247981</v>
      </c>
      <c r="N26" s="1076"/>
      <c r="O26" s="1133">
        <v>0</v>
      </c>
    </row>
    <row r="27" spans="1:20" s="86" customFormat="1">
      <c r="A27" s="101" t="s">
        <v>280</v>
      </c>
      <c r="B27" s="108"/>
      <c r="C27" s="102"/>
      <c r="D27" s="100"/>
      <c r="E27" s="221">
        <v>0</v>
      </c>
      <c r="F27" s="100"/>
      <c r="G27" s="221">
        <v>12000</v>
      </c>
      <c r="H27" s="100"/>
      <c r="I27" s="221">
        <f>K27-G27</f>
        <v>12000</v>
      </c>
      <c r="J27" s="100"/>
      <c r="K27" s="221">
        <v>24000</v>
      </c>
      <c r="L27" s="100"/>
      <c r="M27" s="221">
        <v>0</v>
      </c>
      <c r="N27" s="971"/>
      <c r="O27" s="1135">
        <v>0</v>
      </c>
      <c r="P27" s="961"/>
      <c r="Q27" s="961"/>
      <c r="R27" s="961"/>
      <c r="S27" s="961"/>
    </row>
    <row r="28" spans="1:20" ht="12.75" customHeight="1">
      <c r="A28" s="232" t="s">
        <v>272</v>
      </c>
      <c r="B28" s="229"/>
      <c r="C28" s="233" t="s">
        <v>122</v>
      </c>
      <c r="D28" s="231"/>
      <c r="E28" s="271">
        <v>155931.84</v>
      </c>
      <c r="F28" s="231"/>
      <c r="G28" s="271">
        <v>148362.35</v>
      </c>
      <c r="H28" s="231"/>
      <c r="I28" s="271">
        <f t="shared" si="0"/>
        <v>170595.65</v>
      </c>
      <c r="J28" s="231"/>
      <c r="K28" s="271">
        <v>318958</v>
      </c>
      <c r="L28" s="231"/>
      <c r="M28" s="271">
        <v>357093</v>
      </c>
      <c r="N28" s="1076"/>
      <c r="O28" s="1133">
        <v>0</v>
      </c>
    </row>
    <row r="29" spans="1:20" ht="12.75" customHeight="1">
      <c r="A29" s="232" t="s">
        <v>273</v>
      </c>
      <c r="B29" s="229"/>
      <c r="C29" s="233" t="s">
        <v>123</v>
      </c>
      <c r="D29" s="231"/>
      <c r="E29" s="271">
        <v>25988.639999999999</v>
      </c>
      <c r="F29" s="231"/>
      <c r="G29" s="271">
        <v>7135.78</v>
      </c>
      <c r="H29" s="231"/>
      <c r="I29" s="271">
        <f t="shared" si="0"/>
        <v>46048.22</v>
      </c>
      <c r="J29" s="231"/>
      <c r="K29" s="271">
        <v>53184</v>
      </c>
      <c r="L29" s="231"/>
      <c r="M29" s="271">
        <v>10800</v>
      </c>
      <c r="N29" s="1076"/>
      <c r="O29" s="1133">
        <v>0</v>
      </c>
    </row>
    <row r="30" spans="1:20" ht="12.75" customHeight="1">
      <c r="A30" s="232" t="s">
        <v>274</v>
      </c>
      <c r="B30" s="229"/>
      <c r="C30" s="233" t="s">
        <v>124</v>
      </c>
      <c r="D30" s="231"/>
      <c r="E30" s="271">
        <v>16239.24</v>
      </c>
      <c r="F30" s="231"/>
      <c r="G30" s="271">
        <v>17968.43</v>
      </c>
      <c r="H30" s="231"/>
      <c r="I30" s="271">
        <f t="shared" si="0"/>
        <v>35215.57</v>
      </c>
      <c r="J30" s="231"/>
      <c r="K30" s="271">
        <v>53184</v>
      </c>
      <c r="L30" s="231"/>
      <c r="M30" s="271">
        <v>67032</v>
      </c>
      <c r="N30" s="1076"/>
      <c r="O30" s="1133">
        <v>0</v>
      </c>
    </row>
    <row r="31" spans="1:20" ht="12.75" customHeight="1">
      <c r="A31" s="232" t="s">
        <v>275</v>
      </c>
      <c r="B31" s="229"/>
      <c r="C31" s="233" t="s">
        <v>125</v>
      </c>
      <c r="D31" s="231"/>
      <c r="E31" s="271">
        <v>2400</v>
      </c>
      <c r="F31" s="231"/>
      <c r="G31" s="271">
        <v>4400</v>
      </c>
      <c r="H31" s="231"/>
      <c r="I31" s="271">
        <f t="shared" si="0"/>
        <v>5200</v>
      </c>
      <c r="J31" s="231"/>
      <c r="K31" s="271">
        <v>9600</v>
      </c>
      <c r="L31" s="231"/>
      <c r="M31" s="271">
        <v>10800</v>
      </c>
      <c r="N31" s="1076"/>
      <c r="O31" s="1133">
        <v>0</v>
      </c>
    </row>
    <row r="32" spans="1:20" ht="12.75" customHeight="1">
      <c r="A32" s="232" t="s">
        <v>276</v>
      </c>
      <c r="B32" s="256"/>
      <c r="C32" s="233" t="s">
        <v>161</v>
      </c>
      <c r="D32" s="231"/>
      <c r="E32" s="141"/>
      <c r="F32" s="231"/>
      <c r="G32" s="141"/>
      <c r="H32" s="231"/>
      <c r="I32" s="141"/>
      <c r="J32" s="231"/>
      <c r="K32" s="141"/>
      <c r="L32" s="231"/>
      <c r="M32" s="141"/>
      <c r="N32" s="1076"/>
      <c r="O32" s="972"/>
      <c r="P32" s="1134"/>
    </row>
    <row r="33" spans="1:19" s="86" customFormat="1" ht="12.75" customHeight="1">
      <c r="A33" s="101" t="s">
        <v>292</v>
      </c>
      <c r="B33" s="108"/>
      <c r="C33" s="102"/>
      <c r="D33" s="100"/>
      <c r="E33" s="7">
        <v>0</v>
      </c>
      <c r="F33" s="100"/>
      <c r="G33" s="7">
        <v>0</v>
      </c>
      <c r="H33" s="100"/>
      <c r="I33" s="271">
        <f t="shared" si="0"/>
        <v>0</v>
      </c>
      <c r="J33" s="100"/>
      <c r="K33" s="7">
        <v>0</v>
      </c>
      <c r="L33" s="100"/>
      <c r="M33" s="7">
        <v>158262</v>
      </c>
      <c r="N33" s="971"/>
      <c r="O33" s="1035">
        <v>0</v>
      </c>
      <c r="P33" s="961"/>
      <c r="Q33" s="961"/>
      <c r="R33" s="961"/>
      <c r="S33" s="961"/>
    </row>
    <row r="34" spans="1:19" ht="12.75" customHeight="1">
      <c r="A34" s="232" t="s">
        <v>260</v>
      </c>
      <c r="B34" s="256"/>
      <c r="C34" s="233"/>
      <c r="D34" s="231"/>
      <c r="E34" s="271">
        <v>10000</v>
      </c>
      <c r="F34" s="231"/>
      <c r="G34" s="271">
        <v>0</v>
      </c>
      <c r="H34" s="231"/>
      <c r="I34" s="271">
        <f t="shared" ref="I34" si="1">K34-G34</f>
        <v>40000</v>
      </c>
      <c r="J34" s="231"/>
      <c r="K34" s="271">
        <v>40000</v>
      </c>
      <c r="L34" s="231"/>
      <c r="M34" s="271">
        <v>45000</v>
      </c>
      <c r="N34" s="1076"/>
      <c r="O34" s="1133">
        <v>0</v>
      </c>
    </row>
    <row r="35" spans="1:19" ht="12.75" customHeight="1">
      <c r="A35" s="232" t="s">
        <v>764</v>
      </c>
      <c r="B35" s="256"/>
      <c r="C35" s="233"/>
      <c r="D35" s="231"/>
      <c r="E35" s="271">
        <v>0</v>
      </c>
      <c r="F35" s="231"/>
      <c r="G35" s="271">
        <v>0</v>
      </c>
      <c r="H35" s="231"/>
      <c r="I35" s="271">
        <f t="shared" si="0"/>
        <v>117421</v>
      </c>
      <c r="J35" s="231"/>
      <c r="K35" s="271">
        <v>117421</v>
      </c>
      <c r="L35" s="231"/>
      <c r="M35" s="271">
        <v>0</v>
      </c>
      <c r="N35" s="1076"/>
      <c r="O35" s="1133">
        <v>0</v>
      </c>
    </row>
    <row r="36" spans="1:19" ht="12.75" customHeight="1">
      <c r="A36" s="232" t="s">
        <v>259</v>
      </c>
      <c r="B36" s="256"/>
      <c r="C36" s="233"/>
      <c r="D36" s="231"/>
      <c r="E36" s="272">
        <v>0</v>
      </c>
      <c r="F36" s="231"/>
      <c r="G36" s="272">
        <v>0</v>
      </c>
      <c r="H36" s="231"/>
      <c r="I36" s="271">
        <f t="shared" si="0"/>
        <v>0</v>
      </c>
      <c r="J36" s="231"/>
      <c r="K36" s="272">
        <v>0</v>
      </c>
      <c r="L36" s="234"/>
      <c r="M36" s="272">
        <v>10000</v>
      </c>
      <c r="N36" s="1077"/>
      <c r="O36" s="1136">
        <v>0</v>
      </c>
    </row>
    <row r="37" spans="1:19" ht="12.75" customHeight="1">
      <c r="A37" s="1363" t="s">
        <v>14</v>
      </c>
      <c r="B37" s="1364"/>
      <c r="C37" s="233"/>
      <c r="D37" s="237" t="s">
        <v>15</v>
      </c>
      <c r="E37" s="154">
        <f>SUM(E16:E36)</f>
        <v>2201161.5400000005</v>
      </c>
      <c r="F37" s="237" t="s">
        <v>15</v>
      </c>
      <c r="G37" s="154">
        <f>SUM(G16:G36)</f>
        <v>1752804.5300000003</v>
      </c>
      <c r="H37" s="237" t="s">
        <v>15</v>
      </c>
      <c r="I37" s="154">
        <f>SUM(I16:I36)</f>
        <v>2406514.4699999997</v>
      </c>
      <c r="J37" s="237" t="s">
        <v>15</v>
      </c>
      <c r="K37" s="154">
        <f>SUM(K16:K36)</f>
        <v>4159319</v>
      </c>
      <c r="L37" s="237" t="s">
        <v>15</v>
      </c>
      <c r="M37" s="154">
        <f>SUM(M16:M36)</f>
        <v>4607721</v>
      </c>
      <c r="N37" s="1081" t="s">
        <v>15</v>
      </c>
      <c r="O37" s="978">
        <f>SUM(O16:O36)</f>
        <v>0</v>
      </c>
    </row>
    <row r="38" spans="1:19" ht="12.75" customHeight="1">
      <c r="A38" s="228" t="s">
        <v>282</v>
      </c>
      <c r="B38" s="229"/>
      <c r="C38" s="233"/>
      <c r="D38" s="226"/>
      <c r="E38" s="153"/>
      <c r="F38" s="226"/>
      <c r="G38" s="153"/>
      <c r="H38" s="226"/>
      <c r="I38" s="153"/>
      <c r="J38" s="226"/>
      <c r="K38" s="153"/>
      <c r="L38" s="226"/>
      <c r="M38" s="153"/>
      <c r="N38" s="1074"/>
      <c r="O38" s="1075"/>
    </row>
    <row r="39" spans="1:19" ht="12.75" customHeight="1">
      <c r="A39" s="232" t="s">
        <v>41</v>
      </c>
      <c r="B39" s="229"/>
      <c r="C39" s="233" t="s">
        <v>126</v>
      </c>
      <c r="D39" s="231" t="s">
        <v>15</v>
      </c>
      <c r="E39" s="141">
        <v>27560</v>
      </c>
      <c r="F39" s="231" t="s">
        <v>15</v>
      </c>
      <c r="G39" s="141">
        <v>26250</v>
      </c>
      <c r="H39" s="257" t="s">
        <v>15</v>
      </c>
      <c r="I39" s="141">
        <f>K39-G39</f>
        <v>48750</v>
      </c>
      <c r="J39" s="231" t="s">
        <v>15</v>
      </c>
      <c r="K39" s="141">
        <v>75000</v>
      </c>
      <c r="L39" s="231" t="s">
        <v>15</v>
      </c>
      <c r="M39" s="141">
        <v>75000</v>
      </c>
      <c r="N39" s="1076" t="s">
        <v>15</v>
      </c>
      <c r="O39" s="972">
        <f>M39-K39</f>
        <v>0</v>
      </c>
      <c r="P39" s="1134">
        <f t="shared" ref="P39:P51" si="2">O39-K39</f>
        <v>-75000</v>
      </c>
    </row>
    <row r="40" spans="1:19" ht="12.75" customHeight="1">
      <c r="A40" s="232" t="s">
        <v>42</v>
      </c>
      <c r="B40" s="229"/>
      <c r="C40" s="233" t="s">
        <v>127</v>
      </c>
      <c r="D40" s="231"/>
      <c r="E40" s="143">
        <v>20000</v>
      </c>
      <c r="F40" s="231"/>
      <c r="G40" s="141">
        <v>20000</v>
      </c>
      <c r="H40" s="257"/>
      <c r="I40" s="141">
        <f t="shared" ref="I40:I51" si="3">K40-G40</f>
        <v>30000</v>
      </c>
      <c r="J40" s="231"/>
      <c r="K40" s="141">
        <v>50000</v>
      </c>
      <c r="L40" s="231"/>
      <c r="M40" s="141">
        <v>50000</v>
      </c>
      <c r="N40" s="1076"/>
      <c r="O40" s="972">
        <f t="shared" ref="O40:O51" si="4">M40-K40</f>
        <v>0</v>
      </c>
      <c r="P40" s="1134">
        <f t="shared" si="2"/>
        <v>-50000</v>
      </c>
    </row>
    <row r="41" spans="1:19" ht="12.75" customHeight="1">
      <c r="A41" s="232" t="s">
        <v>28</v>
      </c>
      <c r="B41" s="229"/>
      <c r="C41" s="233" t="s">
        <v>128</v>
      </c>
      <c r="D41" s="231"/>
      <c r="E41" s="143">
        <v>26237</v>
      </c>
      <c r="F41" s="231"/>
      <c r="G41" s="141">
        <v>8746</v>
      </c>
      <c r="H41" s="257"/>
      <c r="I41" s="141">
        <f t="shared" si="3"/>
        <v>41254</v>
      </c>
      <c r="J41" s="231"/>
      <c r="K41" s="141">
        <v>50000</v>
      </c>
      <c r="L41" s="231"/>
      <c r="M41" s="141">
        <v>50000</v>
      </c>
      <c r="N41" s="1076"/>
      <c r="O41" s="972">
        <f t="shared" si="4"/>
        <v>0</v>
      </c>
      <c r="P41" s="1134">
        <f t="shared" si="2"/>
        <v>-50000</v>
      </c>
    </row>
    <row r="42" spans="1:19" ht="12.75" customHeight="1">
      <c r="A42" s="232" t="s">
        <v>130</v>
      </c>
      <c r="B42" s="229"/>
      <c r="C42" s="233" t="s">
        <v>129</v>
      </c>
      <c r="D42" s="231"/>
      <c r="E42" s="143">
        <v>26151.9</v>
      </c>
      <c r="F42" s="231"/>
      <c r="G42" s="141">
        <v>9692.4</v>
      </c>
      <c r="H42" s="257"/>
      <c r="I42" s="141">
        <f t="shared" si="3"/>
        <v>40307.599999999999</v>
      </c>
      <c r="J42" s="231"/>
      <c r="K42" s="141">
        <v>50000</v>
      </c>
      <c r="L42" s="231"/>
      <c r="M42" s="141">
        <v>205800</v>
      </c>
      <c r="N42" s="1076"/>
      <c r="O42" s="972">
        <f t="shared" si="4"/>
        <v>155800</v>
      </c>
      <c r="P42" s="1134">
        <f t="shared" si="2"/>
        <v>105800</v>
      </c>
    </row>
    <row r="43" spans="1:19" ht="12.75" customHeight="1">
      <c r="A43" s="232" t="s">
        <v>497</v>
      </c>
      <c r="B43" s="229"/>
      <c r="C43" s="233" t="s">
        <v>174</v>
      </c>
      <c r="D43" s="231"/>
      <c r="E43" s="143">
        <v>28271.5</v>
      </c>
      <c r="F43" s="231"/>
      <c r="G43" s="141">
        <v>10171.25</v>
      </c>
      <c r="H43" s="257"/>
      <c r="I43" s="141">
        <f t="shared" si="3"/>
        <v>39828.75</v>
      </c>
      <c r="J43" s="231"/>
      <c r="K43" s="141">
        <v>50000</v>
      </c>
      <c r="L43" s="231"/>
      <c r="M43" s="141">
        <v>50000</v>
      </c>
      <c r="N43" s="1076"/>
      <c r="O43" s="972">
        <f t="shared" si="4"/>
        <v>0</v>
      </c>
      <c r="P43" s="1134">
        <f t="shared" si="2"/>
        <v>-50000</v>
      </c>
    </row>
    <row r="44" spans="1:19" ht="12.75" customHeight="1">
      <c r="A44" s="232" t="s">
        <v>163</v>
      </c>
      <c r="B44" s="229"/>
      <c r="C44" s="233" t="s">
        <v>133</v>
      </c>
      <c r="D44" s="231"/>
      <c r="E44" s="143">
        <v>30000</v>
      </c>
      <c r="F44" s="231"/>
      <c r="G44" s="141">
        <v>15000</v>
      </c>
      <c r="H44" s="257"/>
      <c r="I44" s="141">
        <f t="shared" si="3"/>
        <v>25000</v>
      </c>
      <c r="J44" s="231"/>
      <c r="K44" s="141">
        <v>40000</v>
      </c>
      <c r="L44" s="231"/>
      <c r="M44" s="141">
        <v>40000</v>
      </c>
      <c r="N44" s="1076"/>
      <c r="O44" s="972">
        <f t="shared" si="4"/>
        <v>0</v>
      </c>
      <c r="P44" s="1134">
        <f t="shared" si="2"/>
        <v>-40000</v>
      </c>
    </row>
    <row r="45" spans="1:19" ht="12.75" customHeight="1">
      <c r="A45" s="232" t="s">
        <v>135</v>
      </c>
      <c r="B45" s="229"/>
      <c r="C45" s="233" t="s">
        <v>134</v>
      </c>
      <c r="D45" s="231"/>
      <c r="E45" s="143">
        <v>0</v>
      </c>
      <c r="F45" s="231"/>
      <c r="G45" s="141">
        <v>5798</v>
      </c>
      <c r="H45" s="257"/>
      <c r="I45" s="141">
        <f t="shared" si="3"/>
        <v>30202</v>
      </c>
      <c r="J45" s="231"/>
      <c r="K45" s="141">
        <v>36000</v>
      </c>
      <c r="L45" s="231"/>
      <c r="M45" s="141">
        <v>36000</v>
      </c>
      <c r="N45" s="1076"/>
      <c r="O45" s="972">
        <f t="shared" si="4"/>
        <v>0</v>
      </c>
      <c r="P45" s="1134">
        <f t="shared" si="2"/>
        <v>-36000</v>
      </c>
    </row>
    <row r="46" spans="1:19" ht="12.75" customHeight="1">
      <c r="A46" s="232" t="s">
        <v>142</v>
      </c>
      <c r="B46" s="229"/>
      <c r="C46" s="233" t="s">
        <v>141</v>
      </c>
      <c r="D46" s="231"/>
      <c r="E46" s="143">
        <v>0</v>
      </c>
      <c r="F46" s="231"/>
      <c r="G46" s="141">
        <v>0</v>
      </c>
      <c r="H46" s="257"/>
      <c r="I46" s="141">
        <f t="shared" si="3"/>
        <v>50000</v>
      </c>
      <c r="J46" s="231"/>
      <c r="K46" s="141">
        <v>50000</v>
      </c>
      <c r="L46" s="231"/>
      <c r="M46" s="141">
        <v>50000</v>
      </c>
      <c r="N46" s="1076"/>
      <c r="O46" s="972">
        <f t="shared" si="4"/>
        <v>0</v>
      </c>
      <c r="P46" s="1134">
        <f t="shared" si="2"/>
        <v>-50000</v>
      </c>
    </row>
    <row r="47" spans="1:19" ht="12.75" customHeight="1">
      <c r="A47" s="232" t="s">
        <v>242</v>
      </c>
      <c r="B47" s="229"/>
      <c r="C47" s="233" t="s">
        <v>176</v>
      </c>
      <c r="D47" s="231"/>
      <c r="E47" s="143">
        <v>0</v>
      </c>
      <c r="F47" s="231"/>
      <c r="G47" s="141">
        <v>0</v>
      </c>
      <c r="H47" s="257"/>
      <c r="I47" s="141">
        <f t="shared" si="3"/>
        <v>0</v>
      </c>
      <c r="J47" s="231"/>
      <c r="K47" s="141">
        <v>0</v>
      </c>
      <c r="L47" s="231"/>
      <c r="M47" s="141">
        <v>0</v>
      </c>
      <c r="N47" s="1076"/>
      <c r="O47" s="972">
        <v>0</v>
      </c>
      <c r="P47" s="1134">
        <f t="shared" si="2"/>
        <v>0</v>
      </c>
    </row>
    <row r="48" spans="1:19" ht="12.75" customHeight="1">
      <c r="A48" s="232" t="s">
        <v>145</v>
      </c>
      <c r="B48" s="229"/>
      <c r="C48" s="233" t="s">
        <v>144</v>
      </c>
      <c r="D48" s="231"/>
      <c r="E48" s="143">
        <v>0</v>
      </c>
      <c r="F48" s="231"/>
      <c r="G48" s="141">
        <v>0</v>
      </c>
      <c r="H48" s="257"/>
      <c r="I48" s="141">
        <f t="shared" si="3"/>
        <v>150000</v>
      </c>
      <c r="J48" s="231"/>
      <c r="K48" s="141">
        <v>150000</v>
      </c>
      <c r="L48" s="231"/>
      <c r="M48" s="141">
        <v>0</v>
      </c>
      <c r="N48" s="1076"/>
      <c r="O48" s="972">
        <f t="shared" si="4"/>
        <v>-150000</v>
      </c>
      <c r="P48" s="1134">
        <f t="shared" si="2"/>
        <v>-300000</v>
      </c>
    </row>
    <row r="49" spans="1:19" ht="12.75" customHeight="1">
      <c r="A49" s="232" t="s">
        <v>33</v>
      </c>
      <c r="B49" s="342"/>
      <c r="C49" s="233" t="s">
        <v>148</v>
      </c>
      <c r="D49" s="231"/>
      <c r="E49" s="143"/>
      <c r="F49" s="231"/>
      <c r="G49" s="141">
        <v>0</v>
      </c>
      <c r="H49" s="257"/>
      <c r="I49" s="141">
        <f t="shared" si="3"/>
        <v>0</v>
      </c>
      <c r="J49" s="231"/>
      <c r="K49" s="141">
        <v>0</v>
      </c>
      <c r="L49" s="231"/>
      <c r="M49" s="141">
        <v>0</v>
      </c>
      <c r="N49" s="1076"/>
      <c r="O49" s="972">
        <v>0</v>
      </c>
      <c r="P49" s="1134">
        <f t="shared" si="2"/>
        <v>0</v>
      </c>
    </row>
    <row r="50" spans="1:19" ht="12.75" customHeight="1">
      <c r="A50" s="232" t="s">
        <v>637</v>
      </c>
      <c r="B50" s="342"/>
      <c r="C50" s="233"/>
      <c r="D50" s="231"/>
      <c r="E50" s="143">
        <v>411402.47</v>
      </c>
      <c r="F50" s="231"/>
      <c r="G50" s="141">
        <v>233370.72</v>
      </c>
      <c r="H50" s="257"/>
      <c r="I50" s="141">
        <f t="shared" ref="I50" si="5">K50-G50</f>
        <v>641905.28</v>
      </c>
      <c r="J50" s="231"/>
      <c r="K50" s="141">
        <f>1064300-189024</f>
        <v>875276</v>
      </c>
      <c r="L50" s="231"/>
      <c r="M50" s="141">
        <f>875276+30000</f>
        <v>905276</v>
      </c>
      <c r="N50" s="1076"/>
      <c r="O50" s="972">
        <f>M50-K50</f>
        <v>30000</v>
      </c>
      <c r="P50" s="1134">
        <f t="shared" si="2"/>
        <v>-845276</v>
      </c>
    </row>
    <row r="51" spans="1:19" ht="12.75" customHeight="1">
      <c r="A51" s="232" t="s">
        <v>751</v>
      </c>
      <c r="B51" s="236"/>
      <c r="C51" s="233"/>
      <c r="D51" s="231"/>
      <c r="E51" s="161">
        <v>26474</v>
      </c>
      <c r="F51" s="234"/>
      <c r="G51" s="142">
        <v>19020</v>
      </c>
      <c r="H51" s="267"/>
      <c r="I51" s="142">
        <f t="shared" si="3"/>
        <v>80980</v>
      </c>
      <c r="J51" s="234"/>
      <c r="K51" s="142">
        <v>100000</v>
      </c>
      <c r="L51" s="234"/>
      <c r="M51" s="142">
        <v>0</v>
      </c>
      <c r="N51" s="1077"/>
      <c r="O51" s="972">
        <f t="shared" si="4"/>
        <v>-100000</v>
      </c>
      <c r="P51" s="1134">
        <f t="shared" si="2"/>
        <v>-200000</v>
      </c>
    </row>
    <row r="52" spans="1:19" ht="12.75" customHeight="1">
      <c r="A52" s="1363" t="s">
        <v>13</v>
      </c>
      <c r="B52" s="1364"/>
      <c r="C52" s="233"/>
      <c r="D52" s="237" t="s">
        <v>15</v>
      </c>
      <c r="E52" s="154">
        <f>SUM(E39:E51)</f>
        <v>596096.87</v>
      </c>
      <c r="F52" s="237" t="s">
        <v>15</v>
      </c>
      <c r="G52" s="154">
        <f>SUM(G39:G51)</f>
        <v>348048.37</v>
      </c>
      <c r="H52" s="237" t="s">
        <v>15</v>
      </c>
      <c r="I52" s="154">
        <f>SUM(I39:I51)</f>
        <v>1178227.6299999999</v>
      </c>
      <c r="J52" s="237" t="s">
        <v>15</v>
      </c>
      <c r="K52" s="154">
        <f>SUM(K39:K51)</f>
        <v>1526276</v>
      </c>
      <c r="L52" s="238" t="s">
        <v>15</v>
      </c>
      <c r="M52" s="154">
        <f>SUM(M39:M51)</f>
        <v>1462076</v>
      </c>
      <c r="N52" s="1079" t="s">
        <v>15</v>
      </c>
      <c r="O52" s="978">
        <f>SUM(O39:O51)</f>
        <v>-64200</v>
      </c>
      <c r="P52" s="978">
        <f>SUM(P39:P51)</f>
        <v>-1590476</v>
      </c>
    </row>
    <row r="53" spans="1:19" ht="5.25" customHeight="1">
      <c r="A53" s="232"/>
      <c r="B53" s="229"/>
      <c r="C53" s="233"/>
      <c r="D53" s="231"/>
      <c r="E53" s="141"/>
      <c r="F53" s="231"/>
      <c r="G53" s="141"/>
      <c r="H53" s="231"/>
      <c r="I53" s="141"/>
      <c r="J53" s="231"/>
      <c r="K53" s="141"/>
      <c r="L53" s="231"/>
      <c r="M53" s="141"/>
      <c r="N53" s="1076"/>
      <c r="O53" s="972"/>
    </row>
    <row r="54" spans="1:19" ht="13.5" customHeight="1">
      <c r="A54" s="241" t="s">
        <v>283</v>
      </c>
      <c r="B54" s="236"/>
      <c r="C54" s="233"/>
      <c r="D54" s="240"/>
      <c r="E54" s="152"/>
      <c r="F54" s="240"/>
      <c r="G54" s="152"/>
      <c r="H54" s="240"/>
      <c r="I54" s="152"/>
      <c r="J54" s="240"/>
      <c r="K54" s="152"/>
      <c r="L54" s="240"/>
      <c r="M54" s="152"/>
      <c r="N54" s="1080"/>
      <c r="O54" s="980"/>
    </row>
    <row r="55" spans="1:19" ht="12.75" customHeight="1">
      <c r="A55" s="242" t="s">
        <v>152</v>
      </c>
      <c r="B55" s="236"/>
      <c r="C55" s="233" t="s">
        <v>150</v>
      </c>
      <c r="D55" s="240"/>
      <c r="E55" s="141"/>
      <c r="F55" s="240"/>
      <c r="G55" s="141"/>
      <c r="H55" s="240"/>
      <c r="I55" s="141"/>
      <c r="J55" s="240"/>
      <c r="K55" s="141"/>
      <c r="L55" s="240"/>
      <c r="M55" s="141"/>
      <c r="N55" s="1080"/>
      <c r="O55" s="972"/>
    </row>
    <row r="56" spans="1:19" ht="12.75" customHeight="1">
      <c r="A56" s="242" t="s">
        <v>153</v>
      </c>
      <c r="B56" s="342"/>
      <c r="C56" s="233" t="s">
        <v>151</v>
      </c>
      <c r="D56" s="240"/>
      <c r="E56" s="141"/>
      <c r="F56" s="240"/>
      <c r="G56" s="141"/>
      <c r="H56" s="240"/>
      <c r="I56" s="141"/>
      <c r="J56" s="240"/>
      <c r="K56" s="141"/>
      <c r="L56" s="240"/>
      <c r="M56" s="141"/>
      <c r="N56" s="1080"/>
      <c r="O56" s="972"/>
    </row>
    <row r="57" spans="1:19" ht="12.75" customHeight="1">
      <c r="A57" s="242" t="s">
        <v>1002</v>
      </c>
      <c r="B57" s="754"/>
      <c r="C57" s="233"/>
      <c r="D57" s="240"/>
      <c r="E57" s="141">
        <v>0</v>
      </c>
      <c r="F57" s="240"/>
      <c r="G57" s="141">
        <v>159999</v>
      </c>
      <c r="H57" s="240"/>
      <c r="I57" s="141">
        <f>K57-G57</f>
        <v>1</v>
      </c>
      <c r="J57" s="240"/>
      <c r="K57" s="141">
        <v>160000</v>
      </c>
      <c r="L57" s="240"/>
      <c r="M57" s="141">
        <v>0</v>
      </c>
      <c r="N57" s="1079"/>
      <c r="O57" s="974">
        <v>0</v>
      </c>
    </row>
    <row r="58" spans="1:19" ht="12.75" customHeight="1">
      <c r="A58" s="242" t="s">
        <v>393</v>
      </c>
      <c r="B58" s="236"/>
      <c r="C58" s="233"/>
      <c r="D58" s="240"/>
      <c r="E58" s="141">
        <v>0</v>
      </c>
      <c r="F58" s="240"/>
      <c r="G58" s="141">
        <v>59900</v>
      </c>
      <c r="H58" s="240"/>
      <c r="I58" s="141">
        <f>K58-G58</f>
        <v>100</v>
      </c>
      <c r="J58" s="240"/>
      <c r="K58" s="141">
        <v>60000</v>
      </c>
      <c r="L58" s="240"/>
      <c r="M58" s="141">
        <v>0</v>
      </c>
      <c r="N58" s="1079"/>
      <c r="O58" s="974">
        <v>0</v>
      </c>
    </row>
    <row r="59" spans="1:19" s="133" customFormat="1">
      <c r="A59" s="124" t="s">
        <v>50</v>
      </c>
      <c r="B59" s="753"/>
      <c r="C59" s="102" t="s">
        <v>156</v>
      </c>
      <c r="D59" s="122"/>
      <c r="E59" s="197"/>
      <c r="F59" s="122"/>
      <c r="G59" s="197"/>
      <c r="H59" s="122"/>
      <c r="I59" s="197"/>
      <c r="J59" s="122"/>
      <c r="K59" s="199"/>
      <c r="L59" s="104"/>
      <c r="M59" s="199"/>
      <c r="N59" s="975"/>
      <c r="O59" s="1050"/>
      <c r="P59" s="987"/>
      <c r="Q59" s="987"/>
      <c r="R59" s="987"/>
      <c r="S59" s="987"/>
    </row>
    <row r="60" spans="1:19" ht="12.75" customHeight="1">
      <c r="A60" s="1363" t="s">
        <v>16</v>
      </c>
      <c r="B60" s="1364"/>
      <c r="C60" s="233"/>
      <c r="D60" s="237" t="s">
        <v>15</v>
      </c>
      <c r="E60" s="154">
        <f>SUM(E55:E59)</f>
        <v>0</v>
      </c>
      <c r="F60" s="237" t="s">
        <v>15</v>
      </c>
      <c r="G60" s="154">
        <f>SUM(G55:G59)</f>
        <v>219899</v>
      </c>
      <c r="H60" s="237" t="s">
        <v>15</v>
      </c>
      <c r="I60" s="154">
        <f>SUM(I55:I59)</f>
        <v>101</v>
      </c>
      <c r="J60" s="237" t="s">
        <v>15</v>
      </c>
      <c r="K60" s="154">
        <f>SUM(K55:K59)</f>
        <v>220000</v>
      </c>
      <c r="L60" s="237" t="s">
        <v>15</v>
      </c>
      <c r="M60" s="154">
        <f>SUM(M55:M59)</f>
        <v>0</v>
      </c>
      <c r="N60" s="1081" t="s">
        <v>15</v>
      </c>
      <c r="O60" s="978">
        <f>M60-K60</f>
        <v>-220000</v>
      </c>
    </row>
    <row r="61" spans="1:19" ht="10.5" customHeight="1">
      <c r="A61" s="232"/>
      <c r="B61" s="229"/>
      <c r="C61" s="233"/>
      <c r="D61" s="231"/>
      <c r="E61" s="141"/>
      <c r="F61" s="231"/>
      <c r="G61" s="141"/>
      <c r="H61" s="231"/>
      <c r="I61" s="141"/>
      <c r="J61" s="231"/>
      <c r="K61" s="141"/>
      <c r="L61" s="231"/>
      <c r="M61" s="141"/>
      <c r="N61" s="1076"/>
      <c r="O61" s="972"/>
    </row>
    <row r="62" spans="1:19">
      <c r="A62" s="1365" t="s">
        <v>277</v>
      </c>
      <c r="B62" s="1366"/>
      <c r="C62" s="244"/>
      <c r="D62" s="238" t="s">
        <v>15</v>
      </c>
      <c r="E62" s="156">
        <f>E52+E37+E60</f>
        <v>2797258.4100000006</v>
      </c>
      <c r="F62" s="238" t="s">
        <v>15</v>
      </c>
      <c r="G62" s="156">
        <f>G60+G52+G37</f>
        <v>2320751.9000000004</v>
      </c>
      <c r="H62" s="238" t="s">
        <v>15</v>
      </c>
      <c r="I62" s="156">
        <f>I60+I52+I37</f>
        <v>3584843.0999999996</v>
      </c>
      <c r="J62" s="238" t="s">
        <v>15</v>
      </c>
      <c r="K62" s="156">
        <f>K60+K52+K37</f>
        <v>5905595</v>
      </c>
      <c r="L62" s="238" t="s">
        <v>15</v>
      </c>
      <c r="M62" s="156">
        <f>M60+M52+M37</f>
        <v>6069797</v>
      </c>
      <c r="N62" s="1079"/>
      <c r="O62" s="982"/>
    </row>
    <row r="63" spans="1:19" ht="3" customHeight="1">
      <c r="A63" s="243"/>
      <c r="B63" s="243"/>
      <c r="C63" s="274"/>
      <c r="D63" s="275"/>
      <c r="E63" s="150"/>
      <c r="F63" s="275"/>
      <c r="G63" s="150"/>
      <c r="H63" s="275"/>
      <c r="I63" s="150"/>
      <c r="J63" s="275"/>
      <c r="K63" s="150"/>
      <c r="L63" s="275"/>
      <c r="M63" s="150"/>
      <c r="N63" s="1137"/>
      <c r="O63" s="1001"/>
    </row>
    <row r="64" spans="1:19" ht="11.25" customHeight="1">
      <c r="A64" s="1152" t="s">
        <v>1623</v>
      </c>
      <c r="B64" s="243"/>
      <c r="C64" s="274"/>
      <c r="D64" s="275"/>
      <c r="E64" s="150"/>
      <c r="F64" s="275"/>
      <c r="G64" s="150"/>
      <c r="H64" s="275"/>
      <c r="I64" s="150"/>
      <c r="J64" s="275"/>
      <c r="K64" s="150"/>
      <c r="L64" s="275"/>
      <c r="M64" s="150"/>
      <c r="N64" s="1137"/>
      <c r="O64" s="1001"/>
    </row>
    <row r="65" spans="1:22" s="258" customFormat="1" ht="18.75" customHeight="1">
      <c r="A65" s="258" t="s">
        <v>187</v>
      </c>
      <c r="C65" s="259" t="s">
        <v>188</v>
      </c>
      <c r="F65" s="260"/>
      <c r="I65" s="258" t="s">
        <v>190</v>
      </c>
      <c r="L65" s="260"/>
      <c r="N65" s="1084"/>
      <c r="O65" s="1085"/>
      <c r="P65" s="1138">
        <f>mmo!M86+vmo!M56+osca!M28+sbo!M57+ssbo!M58+admin!M60+hrmo!M58+mpdo!M55+mcro!M55+gso!M58+mbo!M67+macco!M57+mto!M66+masso!M54+coa!M18+mctc!M30+pnp!M30+bfp!M32+dilg!M29+mho!M67+mswdo!M62+mago!M77+meo!M54+OBO!M52+MENRO!M82</f>
        <v>167272869</v>
      </c>
      <c r="Q65" s="1085"/>
      <c r="R65" s="1139"/>
      <c r="S65" s="1139"/>
      <c r="T65" s="261"/>
      <c r="U65" s="261"/>
      <c r="V65" s="261"/>
    </row>
    <row r="67" spans="1:22" ht="8.25" customHeight="1">
      <c r="A67" s="276" t="s">
        <v>216</v>
      </c>
      <c r="B67" s="276"/>
      <c r="C67" s="246"/>
      <c r="D67" s="263"/>
      <c r="E67" s="276"/>
      <c r="F67" s="276"/>
      <c r="G67" s="276"/>
      <c r="H67" s="276"/>
      <c r="I67" s="276"/>
      <c r="J67" s="276"/>
      <c r="K67" s="276"/>
      <c r="L67" s="276"/>
      <c r="M67" s="276"/>
      <c r="N67" s="1140"/>
      <c r="O67" s="1140"/>
    </row>
    <row r="68" spans="1:22" s="246" customFormat="1">
      <c r="A68" s="1360" t="s">
        <v>1620</v>
      </c>
      <c r="B68" s="1360"/>
      <c r="C68" s="1360" t="s">
        <v>1584</v>
      </c>
      <c r="D68" s="1360"/>
      <c r="E68" s="1360"/>
      <c r="F68" s="1360"/>
      <c r="G68" s="1360"/>
      <c r="H68" s="263"/>
      <c r="I68" s="1360" t="str">
        <f>meo!I80</f>
        <v>(Sgd.) ATTY. JOSE JOEL P. DOROMAL</v>
      </c>
      <c r="J68" s="1360"/>
      <c r="K68" s="1360"/>
      <c r="L68" s="1360"/>
      <c r="M68" s="1360"/>
      <c r="N68" s="1360"/>
      <c r="O68" s="1360"/>
      <c r="P68" s="1141"/>
      <c r="Q68" s="1141"/>
      <c r="R68" s="1141"/>
      <c r="S68" s="1141"/>
    </row>
    <row r="69" spans="1:22" ht="11.25" customHeight="1">
      <c r="A69" s="1362" t="s">
        <v>1086</v>
      </c>
      <c r="B69" s="1362"/>
      <c r="C69" s="1362" t="s">
        <v>206</v>
      </c>
      <c r="D69" s="1362"/>
      <c r="E69" s="1362"/>
      <c r="F69" s="1362"/>
      <c r="G69" s="1362"/>
      <c r="I69" s="1362" t="s">
        <v>192</v>
      </c>
      <c r="J69" s="1362"/>
      <c r="K69" s="1362"/>
      <c r="L69" s="1362"/>
      <c r="M69" s="1362"/>
      <c r="N69" s="1362"/>
      <c r="O69" s="1362"/>
    </row>
    <row r="73" spans="1:22" s="1070" customFormat="1">
      <c r="A73" s="1070" t="s">
        <v>1078</v>
      </c>
      <c r="D73" s="1069"/>
      <c r="F73" s="1069"/>
      <c r="H73" s="1069"/>
      <c r="J73" s="1069"/>
      <c r="L73" s="1069"/>
      <c r="N73" s="1069"/>
    </row>
    <row r="74" spans="1:22" s="1070" customFormat="1">
      <c r="A74" s="1070" t="s">
        <v>1079</v>
      </c>
      <c r="D74" s="1069"/>
      <c r="F74" s="1069"/>
      <c r="H74" s="1069"/>
      <c r="J74" s="1069"/>
      <c r="L74" s="1069"/>
      <c r="N74" s="1069"/>
    </row>
    <row r="75" spans="1:22" s="1070" customFormat="1">
      <c r="A75" s="1070" t="s">
        <v>1080</v>
      </c>
      <c r="D75" s="1069"/>
      <c r="F75" s="1069"/>
      <c r="H75" s="1069"/>
      <c r="J75" s="1069"/>
      <c r="L75" s="1069"/>
      <c r="N75" s="1069"/>
    </row>
    <row r="76" spans="1:22" s="1070" customFormat="1">
      <c r="A76" s="1070" t="s">
        <v>1081</v>
      </c>
      <c r="D76" s="1069"/>
      <c r="F76" s="1069"/>
      <c r="H76" s="1069"/>
      <c r="J76" s="1069"/>
      <c r="L76" s="1069"/>
      <c r="N76" s="1069"/>
    </row>
    <row r="77" spans="1:22" s="1070" customFormat="1">
      <c r="A77" s="1070" t="s">
        <v>1082</v>
      </c>
      <c r="D77" s="1069"/>
      <c r="F77" s="1069"/>
      <c r="H77" s="1069"/>
      <c r="J77" s="1069"/>
      <c r="L77" s="1069"/>
      <c r="N77" s="1069"/>
    </row>
  </sheetData>
  <sheetProtection algorithmName="SHA-512" hashValue="5bOks/sqs9O/l34zOW7p3DTuaIxsQf7i4KGAjFWwqyP+AN/SDtYexQU7m3kPD+DQOwC7rReQc2JruiPD6YUBWw==" saltValue="xdO2MCIbDs9nwmwAs8pzGw==" spinCount="100000" sheet="1" objects="1" scenarios="1"/>
  <mergeCells count="27">
    <mergeCell ref="A3:O3"/>
    <mergeCell ref="A4:O4"/>
    <mergeCell ref="F7:O7"/>
    <mergeCell ref="D11:E11"/>
    <mergeCell ref="F11:K11"/>
    <mergeCell ref="L11:M11"/>
    <mergeCell ref="N11:O13"/>
    <mergeCell ref="A12:B12"/>
    <mergeCell ref="D12:E12"/>
    <mergeCell ref="F12:G12"/>
    <mergeCell ref="H12:I12"/>
    <mergeCell ref="J12:K13"/>
    <mergeCell ref="D13:E13"/>
    <mergeCell ref="F13:G13"/>
    <mergeCell ref="H13:I13"/>
    <mergeCell ref="L12:M12"/>
    <mergeCell ref="L13:M13"/>
    <mergeCell ref="I68:O68"/>
    <mergeCell ref="A69:B69"/>
    <mergeCell ref="C69:G69"/>
    <mergeCell ref="I69:O69"/>
    <mergeCell ref="A37:B37"/>
    <mergeCell ref="A52:B52"/>
    <mergeCell ref="A60:B60"/>
    <mergeCell ref="A62:B62"/>
    <mergeCell ref="A68:B68"/>
    <mergeCell ref="C68:G68"/>
  </mergeCells>
  <pageMargins left="7.874015748031496E-2" right="7.874015748031496E-2" top="0.59055118110236227" bottom="0.39370078740157483" header="0.39370078740157483" footer="0.51181102362204722"/>
  <pageSetup paperSize="14" orientation="portrait" horizontalDpi="4294967293" verticalDpi="300" r:id="rId1"/>
  <headerFooter alignWithMargins="0">
    <oddHeader>&amp;RPage &amp;P of 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81"/>
  <sheetViews>
    <sheetView topLeftCell="A64" zoomScale="190" zoomScaleNormal="190" workbookViewId="0">
      <selection activeCell="N22" sqref="N22"/>
    </sheetView>
  </sheetViews>
  <sheetFormatPr defaultColWidth="9.140625" defaultRowHeight="13.5"/>
  <cols>
    <col min="1" max="1" width="8.85546875" style="417" customWidth="1"/>
    <col min="2" max="2" width="23.7109375" style="417" customWidth="1"/>
    <col min="3" max="3" width="8.7109375" style="417" customWidth="1"/>
    <col min="4" max="4" width="1.85546875" style="418" customWidth="1"/>
    <col min="5" max="5" width="10.85546875" style="417" customWidth="1"/>
    <col min="6" max="6" width="1.85546875" style="418" customWidth="1"/>
    <col min="7" max="7" width="10.140625" style="417" customWidth="1"/>
    <col min="8" max="8" width="1.85546875" style="418" customWidth="1"/>
    <col min="9" max="9" width="10.7109375" style="417" customWidth="1"/>
    <col min="10" max="10" width="1.42578125" style="418" customWidth="1"/>
    <col min="11" max="11" width="10.7109375" style="417" customWidth="1"/>
    <col min="12" max="12" width="1.85546875" style="418" customWidth="1"/>
    <col min="13" max="13" width="11.28515625" style="417" customWidth="1"/>
    <col min="14" max="14" width="16.140625" style="417" customWidth="1"/>
    <col min="15" max="16384" width="9.140625" style="417"/>
  </cols>
  <sheetData>
    <row r="1" spans="1:18">
      <c r="A1" s="417" t="s">
        <v>186</v>
      </c>
    </row>
    <row r="2" spans="1:18" ht="15" customHeight="1"/>
    <row r="3" spans="1:18">
      <c r="A3" s="1383" t="s">
        <v>195</v>
      </c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1383"/>
      <c r="N3" s="571"/>
      <c r="O3" s="571"/>
      <c r="P3" s="571"/>
      <c r="Q3" s="571"/>
      <c r="R3" s="571"/>
    </row>
    <row r="4" spans="1:18">
      <c r="A4" s="1383" t="s">
        <v>401</v>
      </c>
      <c r="B4" s="1383"/>
      <c r="C4" s="1383"/>
      <c r="D4" s="1383"/>
      <c r="E4" s="1383"/>
      <c r="F4" s="1383"/>
      <c r="G4" s="1383"/>
      <c r="H4" s="1383"/>
      <c r="I4" s="1383"/>
      <c r="J4" s="1383"/>
      <c r="K4" s="1383"/>
      <c r="L4" s="1383"/>
      <c r="M4" s="1383"/>
      <c r="N4" s="571"/>
      <c r="O4" s="571"/>
      <c r="P4" s="571"/>
      <c r="Q4" s="571"/>
      <c r="R4" s="571"/>
    </row>
    <row r="5" spans="1:18" ht="14.25" customHeight="1"/>
    <row r="6" spans="1:18">
      <c r="A6" s="465" t="s">
        <v>85</v>
      </c>
      <c r="B6" s="519" t="s">
        <v>478</v>
      </c>
      <c r="C6" s="519"/>
    </row>
    <row r="7" spans="1:18" hidden="1">
      <c r="A7" s="417" t="s">
        <v>2</v>
      </c>
      <c r="B7" s="520" t="s">
        <v>474</v>
      </c>
      <c r="C7" s="520"/>
      <c r="F7" s="417"/>
      <c r="H7" s="417"/>
      <c r="J7" s="417"/>
      <c r="L7" s="417"/>
    </row>
    <row r="8" spans="1:18" hidden="1">
      <c r="A8" s="417" t="s">
        <v>3</v>
      </c>
      <c r="B8" s="520" t="s">
        <v>475</v>
      </c>
      <c r="C8" s="520"/>
      <c r="F8" s="1384"/>
      <c r="G8" s="1384"/>
      <c r="H8" s="1384"/>
      <c r="I8" s="1384"/>
      <c r="J8" s="1384"/>
      <c r="K8" s="1384"/>
      <c r="L8" s="1384"/>
      <c r="M8" s="1384"/>
    </row>
    <row r="9" spans="1:18" hidden="1">
      <c r="A9" s="417" t="s">
        <v>4</v>
      </c>
      <c r="B9" s="520" t="s">
        <v>476</v>
      </c>
      <c r="C9" s="520"/>
    </row>
    <row r="10" spans="1:18" ht="15" customHeight="1">
      <c r="B10" s="521"/>
      <c r="C10" s="521"/>
    </row>
    <row r="11" spans="1:18">
      <c r="A11" s="522"/>
      <c r="B11" s="523"/>
      <c r="C11" s="524" t="s">
        <v>5</v>
      </c>
      <c r="D11" s="1401" t="s">
        <v>7</v>
      </c>
      <c r="E11" s="1401"/>
      <c r="F11" s="1402" t="s">
        <v>1304</v>
      </c>
      <c r="G11" s="1403"/>
      <c r="H11" s="1403"/>
      <c r="I11" s="1403"/>
      <c r="J11" s="1403"/>
      <c r="K11" s="1404"/>
      <c r="L11" s="1401" t="s">
        <v>8</v>
      </c>
      <c r="M11" s="1401"/>
    </row>
    <row r="12" spans="1:18">
      <c r="A12" s="1387" t="s">
        <v>34</v>
      </c>
      <c r="B12" s="1388"/>
      <c r="C12" s="525" t="s">
        <v>6</v>
      </c>
      <c r="D12" s="1389">
        <v>2021</v>
      </c>
      <c r="E12" s="1389"/>
      <c r="F12" s="1390" t="s">
        <v>184</v>
      </c>
      <c r="G12" s="1391"/>
      <c r="H12" s="1390" t="s">
        <v>185</v>
      </c>
      <c r="I12" s="1391"/>
      <c r="J12" s="1394" t="s">
        <v>64</v>
      </c>
      <c r="K12" s="1395"/>
      <c r="L12" s="1389">
        <v>2023</v>
      </c>
      <c r="M12" s="1389"/>
    </row>
    <row r="13" spans="1:18">
      <c r="A13" s="526"/>
      <c r="B13" s="527"/>
      <c r="C13" s="528"/>
      <c r="D13" s="1398" t="s">
        <v>10</v>
      </c>
      <c r="E13" s="1398"/>
      <c r="F13" s="1399" t="s">
        <v>10</v>
      </c>
      <c r="G13" s="1400"/>
      <c r="H13" s="1399" t="s">
        <v>9</v>
      </c>
      <c r="I13" s="1400"/>
      <c r="J13" s="1396"/>
      <c r="K13" s="1397"/>
      <c r="L13" s="1398" t="s">
        <v>27</v>
      </c>
      <c r="M13" s="1398"/>
    </row>
    <row r="14" spans="1:18">
      <c r="A14" s="529" t="s">
        <v>281</v>
      </c>
      <c r="B14" s="530"/>
      <c r="C14" s="531"/>
      <c r="D14" s="532"/>
      <c r="E14" s="7"/>
      <c r="F14" s="532"/>
      <c r="G14" s="7"/>
      <c r="H14" s="532"/>
      <c r="I14" s="7"/>
      <c r="J14" s="532"/>
      <c r="K14" s="7"/>
      <c r="L14" s="532"/>
      <c r="M14" s="7"/>
    </row>
    <row r="15" spans="1:18">
      <c r="A15" s="533" t="s">
        <v>262</v>
      </c>
      <c r="B15" s="530"/>
      <c r="C15" s="531"/>
      <c r="D15" s="532"/>
      <c r="E15" s="7"/>
      <c r="F15" s="532"/>
      <c r="G15" s="7"/>
      <c r="H15" s="532"/>
      <c r="I15" s="7"/>
      <c r="J15" s="532"/>
      <c r="K15" s="7"/>
      <c r="L15" s="532"/>
      <c r="M15" s="7"/>
    </row>
    <row r="16" spans="1:18">
      <c r="A16" s="533" t="s">
        <v>263</v>
      </c>
      <c r="B16" s="530"/>
      <c r="C16" s="534" t="s">
        <v>114</v>
      </c>
      <c r="D16" s="532" t="s">
        <v>15</v>
      </c>
      <c r="E16" s="7">
        <v>2222892</v>
      </c>
      <c r="F16" s="532" t="s">
        <v>15</v>
      </c>
      <c r="G16" s="7">
        <v>1147864</v>
      </c>
      <c r="H16" s="532" t="s">
        <v>15</v>
      </c>
      <c r="I16" s="7">
        <f>K16-G16</f>
        <v>1150736</v>
      </c>
      <c r="J16" s="532" t="s">
        <v>15</v>
      </c>
      <c r="K16" s="7">
        <v>2298600</v>
      </c>
      <c r="L16" s="532" t="s">
        <v>15</v>
      </c>
      <c r="M16" s="7">
        <v>2993040</v>
      </c>
    </row>
    <row r="17" spans="1:14">
      <c r="A17" s="533" t="s">
        <v>264</v>
      </c>
      <c r="B17" s="530"/>
      <c r="C17" s="534" t="s">
        <v>115</v>
      </c>
      <c r="D17" s="532"/>
      <c r="E17" s="7">
        <v>1952941.09</v>
      </c>
      <c r="F17" s="532"/>
      <c r="G17" s="7">
        <v>1025783.5</v>
      </c>
      <c r="H17" s="532"/>
      <c r="I17" s="7">
        <f t="shared" ref="I17:I35" si="0">K17-G17</f>
        <v>1226124.5</v>
      </c>
      <c r="J17" s="532"/>
      <c r="K17" s="7">
        <v>2251908</v>
      </c>
      <c r="L17" s="532"/>
      <c r="M17" s="7">
        <v>2404380</v>
      </c>
    </row>
    <row r="18" spans="1:14">
      <c r="A18" s="533" t="s">
        <v>265</v>
      </c>
      <c r="B18" s="530"/>
      <c r="C18" s="534"/>
      <c r="D18" s="532"/>
      <c r="E18" s="7"/>
      <c r="F18" s="532"/>
      <c r="G18" s="7"/>
      <c r="H18" s="532"/>
      <c r="I18" s="7"/>
      <c r="J18" s="532"/>
      <c r="K18" s="7"/>
      <c r="L18" s="532"/>
      <c r="M18" s="7"/>
      <c r="N18" s="536"/>
    </row>
    <row r="19" spans="1:14">
      <c r="A19" s="533" t="s">
        <v>266</v>
      </c>
      <c r="B19" s="530"/>
      <c r="C19" s="534" t="s">
        <v>116</v>
      </c>
      <c r="D19" s="532"/>
      <c r="E19" s="7">
        <v>494512.54</v>
      </c>
      <c r="F19" s="532"/>
      <c r="G19" s="7">
        <v>255997.33</v>
      </c>
      <c r="H19" s="532"/>
      <c r="I19" s="7">
        <f t="shared" si="0"/>
        <v>272002.67000000004</v>
      </c>
      <c r="J19" s="532"/>
      <c r="K19" s="7">
        <v>528000</v>
      </c>
      <c r="L19" s="532"/>
      <c r="M19" s="7">
        <v>648000</v>
      </c>
    </row>
    <row r="20" spans="1:14">
      <c r="A20" s="533" t="s">
        <v>267</v>
      </c>
      <c r="B20" s="530"/>
      <c r="C20" s="534" t="s">
        <v>117</v>
      </c>
      <c r="D20" s="532"/>
      <c r="E20" s="7">
        <v>81000</v>
      </c>
      <c r="F20" s="532"/>
      <c r="G20" s="7">
        <v>40500</v>
      </c>
      <c r="H20" s="532"/>
      <c r="I20" s="7">
        <f t="shared" si="0"/>
        <v>40500</v>
      </c>
      <c r="J20" s="532"/>
      <c r="K20" s="7">
        <v>81000</v>
      </c>
      <c r="L20" s="532"/>
      <c r="M20" s="7">
        <v>81000</v>
      </c>
    </row>
    <row r="21" spans="1:14">
      <c r="A21" s="533" t="s">
        <v>268</v>
      </c>
      <c r="B21" s="537"/>
      <c r="C21" s="534" t="s">
        <v>118</v>
      </c>
      <c r="D21" s="532"/>
      <c r="E21" s="7">
        <v>81000</v>
      </c>
      <c r="F21" s="532"/>
      <c r="G21" s="7">
        <v>40500</v>
      </c>
      <c r="H21" s="532"/>
      <c r="I21" s="7">
        <f t="shared" si="0"/>
        <v>40500</v>
      </c>
      <c r="J21" s="532"/>
      <c r="K21" s="7">
        <v>81000</v>
      </c>
      <c r="L21" s="532"/>
      <c r="M21" s="7">
        <v>81000</v>
      </c>
    </row>
    <row r="22" spans="1:14">
      <c r="A22" s="533" t="s">
        <v>269</v>
      </c>
      <c r="B22" s="537"/>
      <c r="C22" s="534" t="s">
        <v>119</v>
      </c>
      <c r="D22" s="532"/>
      <c r="E22" s="7">
        <v>126000</v>
      </c>
      <c r="F22" s="532"/>
      <c r="G22" s="7">
        <v>132000</v>
      </c>
      <c r="H22" s="532"/>
      <c r="I22" s="7">
        <f t="shared" si="0"/>
        <v>0</v>
      </c>
      <c r="J22" s="532"/>
      <c r="K22" s="7">
        <v>132000</v>
      </c>
      <c r="L22" s="532"/>
      <c r="M22" s="7">
        <v>162000</v>
      </c>
    </row>
    <row r="23" spans="1:14">
      <c r="A23" s="533" t="s">
        <v>288</v>
      </c>
      <c r="B23" s="537"/>
      <c r="C23" s="534" t="s">
        <v>157</v>
      </c>
      <c r="D23" s="532"/>
      <c r="E23" s="7">
        <v>0</v>
      </c>
      <c r="F23" s="532"/>
      <c r="G23" s="7"/>
      <c r="H23" s="532"/>
      <c r="I23" s="7">
        <f t="shared" si="0"/>
        <v>0</v>
      </c>
      <c r="J23" s="532"/>
      <c r="K23" s="7">
        <v>0</v>
      </c>
      <c r="L23" s="532"/>
      <c r="M23" s="7"/>
    </row>
    <row r="24" spans="1:14">
      <c r="A24" s="533" t="s">
        <v>289</v>
      </c>
      <c r="B24" s="537"/>
      <c r="C24" s="534" t="s">
        <v>158</v>
      </c>
      <c r="D24" s="532"/>
      <c r="E24" s="7">
        <v>0</v>
      </c>
      <c r="F24" s="532"/>
      <c r="G24" s="7"/>
      <c r="H24" s="532"/>
      <c r="I24" s="7">
        <f t="shared" si="0"/>
        <v>0</v>
      </c>
      <c r="J24" s="532"/>
      <c r="K24" s="7">
        <v>0</v>
      </c>
      <c r="L24" s="532"/>
      <c r="M24" s="7"/>
    </row>
    <row r="25" spans="1:14">
      <c r="A25" s="533" t="s">
        <v>290</v>
      </c>
      <c r="B25" s="537"/>
      <c r="C25" s="534" t="s">
        <v>159</v>
      </c>
      <c r="D25" s="532"/>
      <c r="E25" s="7">
        <v>0</v>
      </c>
      <c r="F25" s="532"/>
      <c r="G25" s="7"/>
      <c r="H25" s="532"/>
      <c r="I25" s="7">
        <f t="shared" si="0"/>
        <v>0</v>
      </c>
      <c r="J25" s="532"/>
      <c r="K25" s="7">
        <v>0</v>
      </c>
      <c r="L25" s="532"/>
      <c r="M25" s="7"/>
    </row>
    <row r="26" spans="1:14">
      <c r="A26" s="533" t="s">
        <v>270</v>
      </c>
      <c r="B26" s="537"/>
      <c r="C26" s="534" t="s">
        <v>120</v>
      </c>
      <c r="D26" s="532"/>
      <c r="E26" s="7">
        <v>105500</v>
      </c>
      <c r="F26" s="532"/>
      <c r="G26" s="7">
        <v>0</v>
      </c>
      <c r="H26" s="532"/>
      <c r="I26" s="7">
        <f t="shared" si="0"/>
        <v>110000</v>
      </c>
      <c r="J26" s="532"/>
      <c r="K26" s="7">
        <v>110000</v>
      </c>
      <c r="L26" s="532"/>
      <c r="M26" s="7">
        <v>135000</v>
      </c>
    </row>
    <row r="27" spans="1:14">
      <c r="A27" s="533" t="s">
        <v>271</v>
      </c>
      <c r="B27" s="530"/>
      <c r="C27" s="534" t="s">
        <v>121</v>
      </c>
      <c r="D27" s="532"/>
      <c r="E27" s="7">
        <v>354217.38</v>
      </c>
      <c r="F27" s="532"/>
      <c r="G27" s="7">
        <v>0</v>
      </c>
      <c r="H27" s="532"/>
      <c r="I27" s="7">
        <f t="shared" si="0"/>
        <v>379209</v>
      </c>
      <c r="J27" s="532"/>
      <c r="K27" s="7">
        <v>379209</v>
      </c>
      <c r="L27" s="532"/>
      <c r="M27" s="7">
        <v>449785</v>
      </c>
    </row>
    <row r="28" spans="1:14">
      <c r="A28" s="533" t="s">
        <v>278</v>
      </c>
      <c r="B28" s="420"/>
      <c r="C28" s="534" t="s">
        <v>258</v>
      </c>
      <c r="D28" s="532"/>
      <c r="E28" s="7"/>
      <c r="F28" s="532"/>
      <c r="G28" s="7"/>
      <c r="H28" s="532"/>
      <c r="I28" s="7"/>
      <c r="J28" s="532"/>
      <c r="K28" s="7"/>
      <c r="L28" s="532"/>
      <c r="M28" s="7"/>
    </row>
    <row r="29" spans="1:14">
      <c r="A29" s="533" t="s">
        <v>279</v>
      </c>
      <c r="B29" s="420"/>
      <c r="C29" s="534"/>
      <c r="D29" s="532"/>
      <c r="E29" s="7">
        <v>331390.44</v>
      </c>
      <c r="F29" s="532"/>
      <c r="G29" s="7">
        <v>365706.84</v>
      </c>
      <c r="H29" s="532"/>
      <c r="I29" s="7">
        <f>K29-G29</f>
        <v>13502.159999999974</v>
      </c>
      <c r="J29" s="532"/>
      <c r="K29" s="7">
        <v>379209</v>
      </c>
      <c r="L29" s="532"/>
      <c r="M29" s="7">
        <v>449785</v>
      </c>
    </row>
    <row r="30" spans="1:14">
      <c r="A30" s="533" t="s">
        <v>280</v>
      </c>
      <c r="B30" s="420"/>
      <c r="C30" s="534"/>
      <c r="D30" s="532"/>
      <c r="E30" s="7">
        <v>0</v>
      </c>
      <c r="F30" s="532"/>
      <c r="G30" s="7">
        <v>57000</v>
      </c>
      <c r="H30" s="532"/>
      <c r="I30" s="7">
        <f>K30-G30</f>
        <v>9000</v>
      </c>
      <c r="J30" s="532"/>
      <c r="K30" s="7">
        <v>66000</v>
      </c>
      <c r="L30" s="532"/>
      <c r="M30" s="7">
        <v>0</v>
      </c>
    </row>
    <row r="31" spans="1:14">
      <c r="A31" s="533" t="s">
        <v>272</v>
      </c>
      <c r="B31" s="530"/>
      <c r="C31" s="534" t="s">
        <v>122</v>
      </c>
      <c r="D31" s="532"/>
      <c r="E31" s="7">
        <v>489494.44</v>
      </c>
      <c r="F31" s="532"/>
      <c r="G31" s="7">
        <v>263431.59000000003</v>
      </c>
      <c r="H31" s="532"/>
      <c r="I31" s="7">
        <f t="shared" si="0"/>
        <v>282629.40999999997</v>
      </c>
      <c r="J31" s="532"/>
      <c r="K31" s="7">
        <v>546061</v>
      </c>
      <c r="L31" s="532"/>
      <c r="M31" s="7">
        <v>647691</v>
      </c>
    </row>
    <row r="32" spans="1:14">
      <c r="A32" s="533" t="s">
        <v>273</v>
      </c>
      <c r="B32" s="530"/>
      <c r="C32" s="534" t="s">
        <v>123</v>
      </c>
      <c r="D32" s="532"/>
      <c r="E32" s="7">
        <v>81484.800000000003</v>
      </c>
      <c r="F32" s="532"/>
      <c r="G32" s="7">
        <v>17791.259999999998</v>
      </c>
      <c r="H32" s="532"/>
      <c r="I32" s="7">
        <f t="shared" si="0"/>
        <v>73360.740000000005</v>
      </c>
      <c r="J32" s="532"/>
      <c r="K32" s="7">
        <v>91152</v>
      </c>
      <c r="L32" s="532"/>
      <c r="M32" s="7">
        <v>32400</v>
      </c>
    </row>
    <row r="33" spans="1:14">
      <c r="A33" s="533" t="s">
        <v>274</v>
      </c>
      <c r="B33" s="530"/>
      <c r="C33" s="534" t="s">
        <v>124</v>
      </c>
      <c r="D33" s="532"/>
      <c r="E33" s="7">
        <v>57082.3</v>
      </c>
      <c r="F33" s="532"/>
      <c r="G33" s="7">
        <v>32308.21</v>
      </c>
      <c r="H33" s="532"/>
      <c r="I33" s="7">
        <f t="shared" si="0"/>
        <v>57667.79</v>
      </c>
      <c r="J33" s="532"/>
      <c r="K33" s="7">
        <v>89976</v>
      </c>
      <c r="L33" s="532"/>
      <c r="M33" s="7">
        <v>121644</v>
      </c>
    </row>
    <row r="34" spans="1:14">
      <c r="A34" s="533" t="s">
        <v>275</v>
      </c>
      <c r="B34" s="530"/>
      <c r="C34" s="534" t="s">
        <v>125</v>
      </c>
      <c r="D34" s="532"/>
      <c r="E34" s="7">
        <v>24900</v>
      </c>
      <c r="F34" s="532"/>
      <c r="G34" s="7">
        <v>12300</v>
      </c>
      <c r="H34" s="532"/>
      <c r="I34" s="7">
        <f t="shared" si="0"/>
        <v>14100</v>
      </c>
      <c r="J34" s="532"/>
      <c r="K34" s="7">
        <v>26400</v>
      </c>
      <c r="L34" s="532"/>
      <c r="M34" s="7">
        <v>32400</v>
      </c>
    </row>
    <row r="35" spans="1:14">
      <c r="A35" s="533" t="s">
        <v>291</v>
      </c>
      <c r="B35" s="420"/>
      <c r="C35" s="534" t="s">
        <v>160</v>
      </c>
      <c r="D35" s="532"/>
      <c r="E35" s="7">
        <v>0</v>
      </c>
      <c r="F35" s="532"/>
      <c r="G35" s="7">
        <v>1020518.33</v>
      </c>
      <c r="H35" s="532"/>
      <c r="I35" s="7">
        <f t="shared" si="0"/>
        <v>1580481.67</v>
      </c>
      <c r="J35" s="532"/>
      <c r="K35" s="7">
        <v>2601000</v>
      </c>
      <c r="L35" s="532"/>
      <c r="M35" s="7">
        <v>97318</v>
      </c>
    </row>
    <row r="36" spans="1:14">
      <c r="A36" s="533" t="s">
        <v>276</v>
      </c>
      <c r="B36" s="420"/>
      <c r="C36" s="534" t="s">
        <v>161</v>
      </c>
      <c r="D36" s="532"/>
      <c r="E36" s="7"/>
      <c r="F36" s="532"/>
      <c r="G36" s="7"/>
      <c r="H36" s="532"/>
      <c r="I36" s="7"/>
      <c r="J36" s="532"/>
      <c r="K36" s="7"/>
      <c r="L36" s="532"/>
      <c r="M36" s="7"/>
    </row>
    <row r="37" spans="1:14">
      <c r="A37" s="533" t="s">
        <v>764</v>
      </c>
      <c r="B37" s="420"/>
      <c r="C37" s="534"/>
      <c r="D37" s="532"/>
      <c r="E37" s="7">
        <v>0</v>
      </c>
      <c r="F37" s="532"/>
      <c r="G37" s="7">
        <v>0</v>
      </c>
      <c r="H37" s="532"/>
      <c r="I37" s="7">
        <f>K37-G37</f>
        <v>201027</v>
      </c>
      <c r="J37" s="532"/>
      <c r="K37" s="7">
        <v>201027</v>
      </c>
      <c r="L37" s="532"/>
      <c r="M37" s="7">
        <v>238440</v>
      </c>
    </row>
    <row r="38" spans="1:14">
      <c r="A38" s="533" t="s">
        <v>292</v>
      </c>
      <c r="B38" s="420"/>
      <c r="C38" s="534"/>
      <c r="D38" s="532"/>
      <c r="E38" s="7">
        <v>0</v>
      </c>
      <c r="F38" s="532"/>
      <c r="G38" s="7">
        <v>0</v>
      </c>
      <c r="H38" s="532"/>
      <c r="I38" s="7">
        <f>K38-G38</f>
        <v>0</v>
      </c>
      <c r="J38" s="532"/>
      <c r="K38" s="7">
        <v>0</v>
      </c>
      <c r="L38" s="532"/>
      <c r="M38" s="7">
        <v>270064</v>
      </c>
    </row>
    <row r="39" spans="1:14">
      <c r="A39" s="533" t="s">
        <v>259</v>
      </c>
      <c r="B39" s="420"/>
      <c r="C39" s="534"/>
      <c r="D39" s="532"/>
      <c r="E39" s="7">
        <v>15000</v>
      </c>
      <c r="F39" s="532"/>
      <c r="G39" s="7">
        <v>5000</v>
      </c>
      <c r="H39" s="532"/>
      <c r="I39" s="7">
        <f t="shared" ref="I39:I40" si="1">K39-G39</f>
        <v>0</v>
      </c>
      <c r="J39" s="532"/>
      <c r="K39" s="7">
        <v>5000</v>
      </c>
      <c r="L39" s="532"/>
      <c r="M39" s="7">
        <v>135000</v>
      </c>
    </row>
    <row r="40" spans="1:14">
      <c r="A40" s="533" t="s">
        <v>260</v>
      </c>
      <c r="B40" s="420"/>
      <c r="C40" s="534"/>
      <c r="D40" s="532"/>
      <c r="E40" s="7">
        <v>106500</v>
      </c>
      <c r="F40" s="532"/>
      <c r="G40" s="7">
        <v>0</v>
      </c>
      <c r="H40" s="532"/>
      <c r="I40" s="7">
        <f t="shared" si="1"/>
        <v>110000</v>
      </c>
      <c r="J40" s="532"/>
      <c r="K40" s="7">
        <v>110000</v>
      </c>
      <c r="L40" s="532"/>
      <c r="M40" s="105">
        <v>0</v>
      </c>
    </row>
    <row r="41" spans="1:14" ht="16.5" customHeight="1">
      <c r="A41" s="1392" t="s">
        <v>14</v>
      </c>
      <c r="B41" s="1393"/>
      <c r="C41" s="534"/>
      <c r="D41" s="538" t="s">
        <v>15</v>
      </c>
      <c r="E41" s="110">
        <f>SUM(E16:E40)</f>
        <v>6523914.9900000002</v>
      </c>
      <c r="F41" s="538" t="s">
        <v>15</v>
      </c>
      <c r="G41" s="110">
        <f>SUM(G16:G40)</f>
        <v>4416701.0599999996</v>
      </c>
      <c r="H41" s="538" t="s">
        <v>15</v>
      </c>
      <c r="I41" s="110">
        <f>SUM(I16:I40)</f>
        <v>5560840.9400000004</v>
      </c>
      <c r="J41" s="538" t="s">
        <v>15</v>
      </c>
      <c r="K41" s="110">
        <f>SUM(K16:K40)</f>
        <v>9977542</v>
      </c>
      <c r="L41" s="538" t="s">
        <v>15</v>
      </c>
      <c r="M41" s="110">
        <f>SUM(M16:M40)</f>
        <v>8978947</v>
      </c>
      <c r="N41" s="536"/>
    </row>
    <row r="42" spans="1:14" ht="9.75" customHeight="1">
      <c r="A42" s="572"/>
      <c r="B42" s="573"/>
      <c r="C42" s="534"/>
      <c r="D42" s="539"/>
      <c r="E42" s="174"/>
      <c r="F42" s="539"/>
      <c r="G42" s="174"/>
      <c r="H42" s="539"/>
      <c r="I42" s="174"/>
      <c r="J42" s="539"/>
      <c r="K42" s="174"/>
      <c r="L42" s="539"/>
      <c r="M42" s="174"/>
      <c r="N42" s="536"/>
    </row>
    <row r="43" spans="1:14">
      <c r="A43" s="529" t="s">
        <v>282</v>
      </c>
      <c r="B43" s="530"/>
      <c r="C43" s="534"/>
      <c r="D43" s="532"/>
      <c r="E43" s="7"/>
      <c r="F43" s="532"/>
      <c r="G43" s="7"/>
      <c r="H43" s="532"/>
      <c r="I43" s="7"/>
      <c r="J43" s="532"/>
      <c r="K43" s="7"/>
      <c r="L43" s="532"/>
      <c r="M43" s="7"/>
    </row>
    <row r="44" spans="1:14">
      <c r="A44" s="533" t="s">
        <v>41</v>
      </c>
      <c r="B44" s="530"/>
      <c r="C44" s="534" t="s">
        <v>126</v>
      </c>
      <c r="D44" s="532" t="s">
        <v>15</v>
      </c>
      <c r="E44" s="7">
        <v>63000</v>
      </c>
      <c r="F44" s="532" t="s">
        <v>15</v>
      </c>
      <c r="G44" s="7">
        <v>35000</v>
      </c>
      <c r="H44" s="422" t="s">
        <v>15</v>
      </c>
      <c r="I44" s="7">
        <f>K44-G44</f>
        <v>65000</v>
      </c>
      <c r="J44" s="532" t="s">
        <v>15</v>
      </c>
      <c r="K44" s="7">
        <v>100000</v>
      </c>
      <c r="L44" s="532" t="s">
        <v>15</v>
      </c>
      <c r="M44" s="7">
        <v>150000</v>
      </c>
    </row>
    <row r="45" spans="1:14">
      <c r="A45" s="533" t="s">
        <v>42</v>
      </c>
      <c r="B45" s="530"/>
      <c r="C45" s="534" t="s">
        <v>127</v>
      </c>
      <c r="D45" s="532"/>
      <c r="E45" s="157">
        <v>72000</v>
      </c>
      <c r="F45" s="532"/>
      <c r="G45" s="7">
        <v>0</v>
      </c>
      <c r="H45" s="422"/>
      <c r="I45" s="7">
        <f t="shared" ref="I45:I67" si="2">K45-G45</f>
        <v>80000</v>
      </c>
      <c r="J45" s="532"/>
      <c r="K45" s="7">
        <v>80000</v>
      </c>
      <c r="L45" s="532"/>
      <c r="M45" s="7">
        <v>150000</v>
      </c>
    </row>
    <row r="46" spans="1:14">
      <c r="A46" s="533" t="s">
        <v>28</v>
      </c>
      <c r="B46" s="530"/>
      <c r="C46" s="534" t="s">
        <v>128</v>
      </c>
      <c r="D46" s="532"/>
      <c r="E46" s="157">
        <v>20578</v>
      </c>
      <c r="F46" s="532"/>
      <c r="G46" s="7">
        <v>14336</v>
      </c>
      <c r="H46" s="422"/>
      <c r="I46" s="7">
        <f t="shared" si="2"/>
        <v>235664</v>
      </c>
      <c r="J46" s="532"/>
      <c r="K46" s="7">
        <v>250000</v>
      </c>
      <c r="L46" s="532"/>
      <c r="M46" s="7">
        <v>400000</v>
      </c>
    </row>
    <row r="47" spans="1:14">
      <c r="A47" s="533" t="s">
        <v>47</v>
      </c>
      <c r="B47" s="530"/>
      <c r="C47" s="534" t="s">
        <v>165</v>
      </c>
      <c r="D47" s="532"/>
      <c r="E47" s="157">
        <v>326480</v>
      </c>
      <c r="F47" s="532"/>
      <c r="G47" s="7">
        <v>156920</v>
      </c>
      <c r="H47" s="422"/>
      <c r="I47" s="7">
        <f t="shared" si="2"/>
        <v>643080</v>
      </c>
      <c r="J47" s="532"/>
      <c r="K47" s="7">
        <v>800000</v>
      </c>
      <c r="L47" s="532"/>
      <c r="M47" s="7">
        <v>1000000</v>
      </c>
    </row>
    <row r="48" spans="1:14">
      <c r="A48" s="533" t="s">
        <v>130</v>
      </c>
      <c r="B48" s="530"/>
      <c r="C48" s="534" t="s">
        <v>129</v>
      </c>
      <c r="D48" s="532"/>
      <c r="E48" s="157">
        <v>52483.25</v>
      </c>
      <c r="F48" s="532"/>
      <c r="G48" s="7">
        <v>26166.17</v>
      </c>
      <c r="H48" s="422"/>
      <c r="I48" s="7">
        <f t="shared" si="2"/>
        <v>73833.83</v>
      </c>
      <c r="J48" s="532"/>
      <c r="K48" s="7">
        <v>100000</v>
      </c>
      <c r="L48" s="532"/>
      <c r="M48" s="7">
        <v>700000</v>
      </c>
    </row>
    <row r="49" spans="1:14">
      <c r="A49" s="533" t="s">
        <v>497</v>
      </c>
      <c r="B49" s="530"/>
      <c r="C49" s="534" t="s">
        <v>174</v>
      </c>
      <c r="D49" s="532"/>
      <c r="E49" s="157">
        <v>192893.59</v>
      </c>
      <c r="F49" s="532"/>
      <c r="G49" s="7">
        <v>184544.59</v>
      </c>
      <c r="H49" s="422"/>
      <c r="I49" s="7">
        <f t="shared" si="2"/>
        <v>515455.41000000003</v>
      </c>
      <c r="J49" s="532"/>
      <c r="K49" s="7">
        <v>700000</v>
      </c>
      <c r="L49" s="532"/>
      <c r="M49" s="7">
        <v>1000000</v>
      </c>
    </row>
    <row r="50" spans="1:14">
      <c r="A50" s="533" t="s">
        <v>29</v>
      </c>
      <c r="B50" s="530"/>
      <c r="C50" s="534" t="s">
        <v>166</v>
      </c>
      <c r="D50" s="532"/>
      <c r="E50" s="157">
        <v>415602.15</v>
      </c>
      <c r="F50" s="532"/>
      <c r="G50" s="7">
        <v>183596.15</v>
      </c>
      <c r="H50" s="422"/>
      <c r="I50" s="7">
        <f t="shared" si="2"/>
        <v>816403.85</v>
      </c>
      <c r="J50" s="532"/>
      <c r="K50" s="7">
        <v>1000000</v>
      </c>
      <c r="L50" s="532"/>
      <c r="M50" s="7">
        <v>1400000</v>
      </c>
    </row>
    <row r="51" spans="1:14">
      <c r="A51" s="533" t="s">
        <v>46</v>
      </c>
      <c r="B51" s="530"/>
      <c r="C51" s="534" t="s">
        <v>167</v>
      </c>
      <c r="D51" s="532"/>
      <c r="E51" s="157">
        <v>1248955.18</v>
      </c>
      <c r="F51" s="532"/>
      <c r="G51" s="7">
        <v>527244.35</v>
      </c>
      <c r="H51" s="422"/>
      <c r="I51" s="7">
        <f t="shared" si="2"/>
        <v>1372755.65</v>
      </c>
      <c r="J51" s="532"/>
      <c r="K51" s="7">
        <v>1900000</v>
      </c>
      <c r="L51" s="532"/>
      <c r="M51" s="7">
        <v>2350000</v>
      </c>
    </row>
    <row r="52" spans="1:14">
      <c r="A52" s="533" t="s">
        <v>163</v>
      </c>
      <c r="B52" s="530"/>
      <c r="C52" s="540" t="s">
        <v>133</v>
      </c>
      <c r="D52" s="532"/>
      <c r="E52" s="157">
        <v>0</v>
      </c>
      <c r="F52" s="532"/>
      <c r="G52" s="7"/>
      <c r="H52" s="422"/>
      <c r="I52" s="7">
        <f t="shared" si="2"/>
        <v>0</v>
      </c>
      <c r="J52" s="532"/>
      <c r="K52" s="7">
        <v>0</v>
      </c>
      <c r="L52" s="532"/>
      <c r="M52" s="7">
        <v>40000</v>
      </c>
    </row>
    <row r="53" spans="1:14">
      <c r="A53" s="533" t="s">
        <v>135</v>
      </c>
      <c r="B53" s="530"/>
      <c r="C53" s="534" t="s">
        <v>134</v>
      </c>
      <c r="D53" s="532"/>
      <c r="E53" s="157">
        <v>0</v>
      </c>
      <c r="F53" s="532"/>
      <c r="G53" s="7"/>
      <c r="H53" s="422"/>
      <c r="I53" s="7">
        <f t="shared" si="2"/>
        <v>0</v>
      </c>
      <c r="J53" s="532"/>
      <c r="K53" s="7">
        <v>0</v>
      </c>
      <c r="L53" s="532"/>
      <c r="M53" s="7">
        <v>36000</v>
      </c>
    </row>
    <row r="54" spans="1:14">
      <c r="A54" s="533" t="s">
        <v>88</v>
      </c>
      <c r="B54" s="530"/>
      <c r="C54" s="534" t="s">
        <v>182</v>
      </c>
      <c r="D54" s="532"/>
      <c r="E54" s="157">
        <v>0</v>
      </c>
      <c r="F54" s="532"/>
      <c r="G54" s="7"/>
      <c r="H54" s="422"/>
      <c r="I54" s="7">
        <f t="shared" si="2"/>
        <v>0</v>
      </c>
      <c r="J54" s="532"/>
      <c r="K54" s="7">
        <v>0</v>
      </c>
      <c r="L54" s="532"/>
      <c r="M54" s="7">
        <v>0</v>
      </c>
    </row>
    <row r="55" spans="1:14">
      <c r="A55" s="533" t="s">
        <v>0</v>
      </c>
      <c r="B55" s="530"/>
      <c r="C55" s="534" t="s">
        <v>164</v>
      </c>
      <c r="D55" s="532"/>
      <c r="E55" s="157">
        <v>0</v>
      </c>
      <c r="F55" s="532"/>
      <c r="G55" s="7"/>
      <c r="H55" s="422"/>
      <c r="I55" s="7">
        <f t="shared" si="2"/>
        <v>0</v>
      </c>
      <c r="J55" s="532"/>
      <c r="K55" s="7">
        <v>0</v>
      </c>
      <c r="L55" s="532"/>
      <c r="M55" s="7">
        <v>0</v>
      </c>
    </row>
    <row r="56" spans="1:14">
      <c r="A56" s="533" t="s">
        <v>177</v>
      </c>
      <c r="B56" s="530"/>
      <c r="C56" s="534" t="s">
        <v>176</v>
      </c>
      <c r="D56" s="532"/>
      <c r="E56" s="157">
        <v>169417</v>
      </c>
      <c r="F56" s="532"/>
      <c r="G56" s="7">
        <v>31324.9</v>
      </c>
      <c r="H56" s="422"/>
      <c r="I56" s="7">
        <f t="shared" si="2"/>
        <v>468675.1</v>
      </c>
      <c r="J56" s="532"/>
      <c r="K56" s="7">
        <v>500000</v>
      </c>
      <c r="L56" s="532"/>
      <c r="M56" s="7">
        <v>1000000</v>
      </c>
    </row>
    <row r="57" spans="1:14">
      <c r="A57" s="533" t="s">
        <v>1133</v>
      </c>
      <c r="B57" s="530"/>
      <c r="C57" s="534" t="s">
        <v>1302</v>
      </c>
      <c r="D57" s="532"/>
      <c r="E57" s="157">
        <v>0</v>
      </c>
      <c r="F57" s="532"/>
      <c r="G57" s="7">
        <v>0</v>
      </c>
      <c r="H57" s="422"/>
      <c r="I57" s="7">
        <f t="shared" ref="I57" si="3">K57-G57</f>
        <v>0</v>
      </c>
      <c r="J57" s="532"/>
      <c r="K57" s="7">
        <v>0</v>
      </c>
      <c r="L57" s="532"/>
      <c r="M57" s="7">
        <v>0</v>
      </c>
    </row>
    <row r="58" spans="1:14">
      <c r="A58" s="533" t="s">
        <v>142</v>
      </c>
      <c r="B58" s="530"/>
      <c r="C58" s="534" t="s">
        <v>141</v>
      </c>
      <c r="D58" s="532"/>
      <c r="E58" s="157">
        <v>41681</v>
      </c>
      <c r="F58" s="532"/>
      <c r="G58" s="7">
        <v>4900</v>
      </c>
      <c r="H58" s="422"/>
      <c r="I58" s="7">
        <f t="shared" si="2"/>
        <v>95100</v>
      </c>
      <c r="J58" s="532"/>
      <c r="K58" s="7">
        <v>100000</v>
      </c>
      <c r="L58" s="532"/>
      <c r="M58" s="7">
        <v>250000</v>
      </c>
    </row>
    <row r="59" spans="1:14">
      <c r="A59" s="533" t="s">
        <v>145</v>
      </c>
      <c r="B59" s="530"/>
      <c r="C59" s="534" t="s">
        <v>144</v>
      </c>
      <c r="D59" s="532"/>
      <c r="E59" s="157">
        <v>18510.919999999998</v>
      </c>
      <c r="F59" s="532"/>
      <c r="G59" s="7">
        <v>870</v>
      </c>
      <c r="H59" s="422"/>
      <c r="I59" s="7">
        <f t="shared" si="2"/>
        <v>74130</v>
      </c>
      <c r="J59" s="532"/>
      <c r="K59" s="7">
        <v>75000</v>
      </c>
      <c r="L59" s="532"/>
      <c r="M59" s="7">
        <v>250000</v>
      </c>
    </row>
    <row r="60" spans="1:14">
      <c r="A60" s="533" t="s">
        <v>863</v>
      </c>
      <c r="B60" s="530"/>
      <c r="C60" s="534" t="s">
        <v>864</v>
      </c>
      <c r="D60" s="532"/>
      <c r="E60" s="157">
        <v>0</v>
      </c>
      <c r="F60" s="532"/>
      <c r="G60" s="7"/>
      <c r="H60" s="422"/>
      <c r="I60" s="7">
        <f t="shared" si="2"/>
        <v>0</v>
      </c>
      <c r="J60" s="532"/>
      <c r="K60" s="7">
        <v>0</v>
      </c>
      <c r="L60" s="532"/>
      <c r="M60" s="7">
        <v>0</v>
      </c>
    </row>
    <row r="61" spans="1:14">
      <c r="A61" s="533" t="s">
        <v>44</v>
      </c>
      <c r="B61" s="530"/>
      <c r="C61" s="534" t="s">
        <v>168</v>
      </c>
      <c r="D61" s="532"/>
      <c r="E61" s="157">
        <v>0</v>
      </c>
      <c r="F61" s="532"/>
      <c r="G61" s="7">
        <v>0</v>
      </c>
      <c r="H61" s="422"/>
      <c r="I61" s="7">
        <f t="shared" si="2"/>
        <v>3340000</v>
      </c>
      <c r="J61" s="532"/>
      <c r="K61" s="7">
        <v>3340000</v>
      </c>
      <c r="L61" s="532"/>
      <c r="M61" s="7">
        <v>3340000</v>
      </c>
      <c r="N61" s="107"/>
    </row>
    <row r="62" spans="1:14">
      <c r="A62" s="541" t="s">
        <v>33</v>
      </c>
      <c r="B62" s="858"/>
      <c r="C62" s="543" t="s">
        <v>148</v>
      </c>
      <c r="D62" s="535"/>
      <c r="E62" s="183"/>
      <c r="F62" s="535"/>
      <c r="G62" s="105"/>
      <c r="H62" s="559"/>
      <c r="I62" s="105"/>
      <c r="J62" s="535"/>
      <c r="K62" s="105"/>
      <c r="L62" s="535"/>
      <c r="M62" s="105"/>
    </row>
    <row r="63" spans="1:14">
      <c r="A63" s="533"/>
      <c r="B63" s="530" t="s">
        <v>342</v>
      </c>
      <c r="C63" s="534"/>
      <c r="D63" s="532"/>
      <c r="E63" s="157">
        <v>6199014.3099999996</v>
      </c>
      <c r="F63" s="532"/>
      <c r="G63" s="7">
        <v>2947734.6</v>
      </c>
      <c r="H63" s="422"/>
      <c r="I63" s="7">
        <f t="shared" si="2"/>
        <v>3910723.4</v>
      </c>
      <c r="J63" s="532"/>
      <c r="K63" s="7">
        <v>6858458</v>
      </c>
      <c r="L63" s="532"/>
      <c r="M63" s="117">
        <v>7866553</v>
      </c>
    </row>
    <row r="64" spans="1:14">
      <c r="A64" s="533"/>
      <c r="B64" s="530" t="s">
        <v>516</v>
      </c>
      <c r="C64" s="534"/>
      <c r="D64" s="532"/>
      <c r="E64" s="157">
        <v>90000</v>
      </c>
      <c r="F64" s="532"/>
      <c r="G64" s="7">
        <v>0</v>
      </c>
      <c r="H64" s="422"/>
      <c r="I64" s="7">
        <f t="shared" si="2"/>
        <v>129000</v>
      </c>
      <c r="J64" s="532"/>
      <c r="K64" s="7">
        <v>129000</v>
      </c>
      <c r="L64" s="532"/>
      <c r="M64" s="7">
        <v>142500</v>
      </c>
    </row>
    <row r="65" spans="1:20">
      <c r="A65" s="533"/>
      <c r="B65" s="530" t="s">
        <v>343</v>
      </c>
      <c r="C65" s="534"/>
      <c r="D65" s="532"/>
      <c r="E65" s="157">
        <v>92000</v>
      </c>
      <c r="F65" s="532"/>
      <c r="G65" s="7">
        <v>36000</v>
      </c>
      <c r="H65" s="422"/>
      <c r="I65" s="7">
        <f t="shared" si="2"/>
        <v>54000</v>
      </c>
      <c r="J65" s="532"/>
      <c r="K65" s="7">
        <v>90000</v>
      </c>
      <c r="L65" s="532"/>
      <c r="M65" s="7">
        <v>96000</v>
      </c>
    </row>
    <row r="66" spans="1:20">
      <c r="A66" s="533"/>
      <c r="B66" s="530" t="s">
        <v>886</v>
      </c>
      <c r="C66" s="534"/>
      <c r="D66" s="532"/>
      <c r="E66" s="157">
        <v>2500</v>
      </c>
      <c r="F66" s="532"/>
      <c r="G66" s="7"/>
      <c r="H66" s="422"/>
      <c r="I66" s="7">
        <f t="shared" ref="I66" si="4">K66-G66</f>
        <v>0</v>
      </c>
      <c r="J66" s="532"/>
      <c r="K66" s="7">
        <v>0</v>
      </c>
      <c r="L66" s="532"/>
      <c r="M66" s="7">
        <v>150000</v>
      </c>
    </row>
    <row r="67" spans="1:20">
      <c r="A67" s="533"/>
      <c r="B67" s="530" t="s">
        <v>1385</v>
      </c>
      <c r="C67" s="534"/>
      <c r="D67" s="532"/>
      <c r="E67" s="183">
        <v>0</v>
      </c>
      <c r="F67" s="535"/>
      <c r="G67" s="105"/>
      <c r="H67" s="559"/>
      <c r="I67" s="105">
        <f t="shared" si="2"/>
        <v>0</v>
      </c>
      <c r="J67" s="535"/>
      <c r="K67" s="105">
        <v>0</v>
      </c>
      <c r="L67" s="535"/>
      <c r="M67" s="105">
        <v>200000</v>
      </c>
    </row>
    <row r="68" spans="1:20" ht="15.75" customHeight="1">
      <c r="A68" s="1392" t="s">
        <v>13</v>
      </c>
      <c r="B68" s="1393"/>
      <c r="C68" s="534"/>
      <c r="D68" s="538" t="s">
        <v>15</v>
      </c>
      <c r="E68" s="110">
        <f>SUM(E43:E67)</f>
        <v>9005115.3999999985</v>
      </c>
      <c r="F68" s="538" t="s">
        <v>15</v>
      </c>
      <c r="G68" s="110">
        <f>SUM(G44:G67)</f>
        <v>4148636.76</v>
      </c>
      <c r="H68" s="538" t="s">
        <v>15</v>
      </c>
      <c r="I68" s="110">
        <f>SUM(I44:I67)</f>
        <v>11873821.24</v>
      </c>
      <c r="J68" s="538" t="s">
        <v>15</v>
      </c>
      <c r="K68" s="110">
        <f>SUM(K44:K67)</f>
        <v>16022458</v>
      </c>
      <c r="L68" s="538" t="s">
        <v>15</v>
      </c>
      <c r="M68" s="110">
        <f>SUM(M44:M67)</f>
        <v>20521053</v>
      </c>
    </row>
    <row r="69" spans="1:20" ht="8.25" customHeight="1">
      <c r="A69" s="572"/>
      <c r="B69" s="573"/>
      <c r="C69" s="547"/>
      <c r="D69" s="539"/>
      <c r="E69" s="218"/>
      <c r="F69" s="539"/>
      <c r="G69" s="174"/>
      <c r="H69" s="548"/>
      <c r="I69" s="218"/>
      <c r="J69" s="539"/>
      <c r="K69" s="174"/>
      <c r="L69" s="548"/>
      <c r="M69" s="174"/>
    </row>
    <row r="70" spans="1:20">
      <c r="A70" s="549" t="s">
        <v>293</v>
      </c>
      <c r="B70" s="530"/>
      <c r="C70" s="534"/>
      <c r="D70" s="532"/>
      <c r="E70" s="7"/>
      <c r="F70" s="532"/>
      <c r="G70" s="7"/>
      <c r="H70" s="532"/>
      <c r="I70" s="7"/>
      <c r="J70" s="532"/>
      <c r="K70" s="7"/>
      <c r="L70" s="532"/>
      <c r="M70" s="7"/>
    </row>
    <row r="71" spans="1:20">
      <c r="A71" s="533" t="s">
        <v>338</v>
      </c>
      <c r="B71" s="530"/>
      <c r="C71" s="534"/>
      <c r="D71" s="545" t="s">
        <v>15</v>
      </c>
      <c r="E71" s="7">
        <v>500000</v>
      </c>
      <c r="F71" s="532" t="s">
        <v>15</v>
      </c>
      <c r="G71" s="7"/>
      <c r="H71" s="532" t="s">
        <v>15</v>
      </c>
      <c r="I71" s="7">
        <f>K71-G71</f>
        <v>0</v>
      </c>
      <c r="J71" s="532" t="s">
        <v>15</v>
      </c>
      <c r="K71" s="105">
        <v>0</v>
      </c>
      <c r="L71" s="535" t="s">
        <v>15</v>
      </c>
      <c r="M71" s="105">
        <v>0</v>
      </c>
    </row>
    <row r="72" spans="1:20" ht="15" customHeight="1">
      <c r="A72" s="1392" t="s">
        <v>294</v>
      </c>
      <c r="B72" s="1393"/>
      <c r="C72" s="534"/>
      <c r="D72" s="538" t="s">
        <v>15</v>
      </c>
      <c r="E72" s="110">
        <f>SUM(E71:E71)</f>
        <v>500000</v>
      </c>
      <c r="F72" s="538" t="s">
        <v>15</v>
      </c>
      <c r="G72" s="110">
        <f>SUM(G71:G71)</f>
        <v>0</v>
      </c>
      <c r="H72" s="538" t="s">
        <v>15</v>
      </c>
      <c r="I72" s="110">
        <f>SUM(I71:I71)</f>
        <v>0</v>
      </c>
      <c r="J72" s="538" t="s">
        <v>15</v>
      </c>
      <c r="K72" s="110">
        <f>SUM(K71:K71)</f>
        <v>0</v>
      </c>
      <c r="L72" s="538" t="s">
        <v>15</v>
      </c>
      <c r="M72" s="110">
        <f>SUM(M71:M71)</f>
        <v>0</v>
      </c>
    </row>
    <row r="73" spans="1:20" ht="6" customHeight="1">
      <c r="A73" s="572"/>
      <c r="B73" s="573"/>
      <c r="C73" s="534"/>
      <c r="D73" s="545"/>
      <c r="E73" s="123"/>
      <c r="F73" s="545"/>
      <c r="G73" s="123"/>
      <c r="H73" s="545"/>
      <c r="I73" s="123"/>
      <c r="J73" s="545"/>
      <c r="K73" s="123"/>
      <c r="L73" s="545"/>
      <c r="M73" s="123"/>
    </row>
    <row r="74" spans="1:20">
      <c r="A74" s="1392" t="s">
        <v>277</v>
      </c>
      <c r="B74" s="1393"/>
      <c r="C74" s="534"/>
      <c r="D74" s="550" t="s">
        <v>15</v>
      </c>
      <c r="E74" s="126">
        <f>E72+E68+E41</f>
        <v>16029030.389999999</v>
      </c>
      <c r="F74" s="550" t="s">
        <v>15</v>
      </c>
      <c r="G74" s="126">
        <f>G72+G68+G41</f>
        <v>8565337.8200000003</v>
      </c>
      <c r="H74" s="550" t="s">
        <v>15</v>
      </c>
      <c r="I74" s="126">
        <f>I72+I68+I41</f>
        <v>17434662.18</v>
      </c>
      <c r="J74" s="550" t="s">
        <v>15</v>
      </c>
      <c r="K74" s="126">
        <f>K72+K68+K41</f>
        <v>26000000</v>
      </c>
      <c r="L74" s="550" t="s">
        <v>15</v>
      </c>
      <c r="M74" s="126">
        <f>M72+M68+M41</f>
        <v>29500000</v>
      </c>
    </row>
    <row r="75" spans="1:20" ht="9" customHeight="1">
      <c r="A75" s="1385"/>
      <c r="B75" s="1386"/>
      <c r="C75" s="543"/>
      <c r="D75" s="550"/>
      <c r="E75" s="126"/>
      <c r="F75" s="550"/>
      <c r="G75" s="126"/>
      <c r="H75" s="550"/>
      <c r="I75" s="126"/>
      <c r="J75" s="550"/>
      <c r="K75" s="126"/>
      <c r="L75" s="550"/>
      <c r="M75" s="126"/>
    </row>
    <row r="76" spans="1:20" ht="14.25" customHeight="1">
      <c r="A76" s="488">
        <v>0.3</v>
      </c>
      <c r="B76" s="557"/>
      <c r="C76" s="421"/>
      <c r="D76" s="558"/>
      <c r="E76" s="175"/>
      <c r="F76" s="558"/>
      <c r="G76" s="175"/>
      <c r="H76" s="558"/>
      <c r="I76" s="175"/>
      <c r="J76" s="558"/>
      <c r="K76" s="175"/>
      <c r="L76" s="558"/>
      <c r="M76" s="175"/>
    </row>
    <row r="77" spans="1:20" s="464" customFormat="1" ht="19.5" customHeight="1">
      <c r="A77" s="464" t="s">
        <v>187</v>
      </c>
      <c r="C77" s="551" t="s">
        <v>188</v>
      </c>
      <c r="F77" s="552"/>
      <c r="I77" s="464" t="s">
        <v>190</v>
      </c>
      <c r="L77" s="552"/>
      <c r="N77" s="552"/>
      <c r="P77" s="553"/>
      <c r="Q77" s="553"/>
      <c r="R77" s="553"/>
      <c r="S77" s="553"/>
      <c r="T77" s="553"/>
    </row>
    <row r="79" spans="1:20" ht="15" customHeight="1">
      <c r="A79" s="419" t="s">
        <v>218</v>
      </c>
      <c r="B79" s="419"/>
      <c r="C79" s="465"/>
      <c r="D79" s="554"/>
      <c r="E79" s="419"/>
      <c r="F79" s="419"/>
      <c r="G79" s="419"/>
      <c r="H79" s="419"/>
      <c r="I79" s="419"/>
      <c r="J79" s="419"/>
      <c r="K79" s="419"/>
      <c r="L79" s="419"/>
      <c r="M79" s="419"/>
    </row>
    <row r="80" spans="1:20" s="465" customFormat="1">
      <c r="A80" s="1383" t="s">
        <v>1621</v>
      </c>
      <c r="B80" s="1383"/>
      <c r="C80" s="1383" t="s">
        <v>1622</v>
      </c>
      <c r="D80" s="1383"/>
      <c r="E80" s="1383"/>
      <c r="F80" s="1383"/>
      <c r="G80" s="1383"/>
      <c r="H80" s="554"/>
      <c r="I80" s="1383" t="s">
        <v>1585</v>
      </c>
      <c r="J80" s="1383"/>
      <c r="K80" s="1383"/>
      <c r="L80" s="1383"/>
      <c r="M80" s="1383"/>
    </row>
    <row r="81" spans="1:13">
      <c r="A81" s="1384" t="s">
        <v>219</v>
      </c>
      <c r="B81" s="1384"/>
      <c r="C81" s="1384" t="s">
        <v>193</v>
      </c>
      <c r="D81" s="1384"/>
      <c r="E81" s="1384"/>
      <c r="F81" s="1384"/>
      <c r="G81" s="1384"/>
      <c r="I81" s="1384" t="s">
        <v>192</v>
      </c>
      <c r="J81" s="1384"/>
      <c r="K81" s="1384"/>
      <c r="L81" s="1384"/>
      <c r="M81" s="1384"/>
    </row>
  </sheetData>
  <sheetProtection algorithmName="SHA-512" hashValue="58yijl+3LhgpPwbcsnPv7uGftrQJX1L9ukzxR7yVUPg3d39TyskHKy6PM6LF8QNueXDdCY1kCMAaug1n8ezENg==" saltValue="CvyMAp2r3GPcXSjP/Ex5KA==" spinCount="100000" sheet="1" objects="1" scenarios="1"/>
  <mergeCells count="27">
    <mergeCell ref="A3:M3"/>
    <mergeCell ref="A4:M4"/>
    <mergeCell ref="F8:M8"/>
    <mergeCell ref="D11:E11"/>
    <mergeCell ref="F11:K11"/>
    <mergeCell ref="L11:M11"/>
    <mergeCell ref="J12:K13"/>
    <mergeCell ref="L12:M12"/>
    <mergeCell ref="D13:E13"/>
    <mergeCell ref="F13:G13"/>
    <mergeCell ref="H13:I13"/>
    <mergeCell ref="L13:M13"/>
    <mergeCell ref="A75:B75"/>
    <mergeCell ref="A12:B12"/>
    <mergeCell ref="D12:E12"/>
    <mergeCell ref="F12:G12"/>
    <mergeCell ref="H12:I12"/>
    <mergeCell ref="A41:B41"/>
    <mergeCell ref="A68:B68"/>
    <mergeCell ref="A72:B72"/>
    <mergeCell ref="A74:B74"/>
    <mergeCell ref="A80:B80"/>
    <mergeCell ref="C80:G80"/>
    <mergeCell ref="I80:M80"/>
    <mergeCell ref="A81:B81"/>
    <mergeCell ref="C81:G81"/>
    <mergeCell ref="I81:M81"/>
  </mergeCells>
  <pageMargins left="0.2" right="0.2" top="1" bottom="1" header="0.5" footer="0.5"/>
  <pageSetup paperSize="14" orientation="portrait" verticalDpi="300" r:id="rId1"/>
  <headerFooter alignWithMargins="0">
    <oddHeader>&amp;RPage &amp;P of 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85"/>
  <sheetViews>
    <sheetView topLeftCell="A73" zoomScale="145" zoomScaleNormal="145" workbookViewId="0">
      <selection activeCell="N22" sqref="N22"/>
    </sheetView>
  </sheetViews>
  <sheetFormatPr defaultColWidth="9.140625" defaultRowHeight="13.5"/>
  <cols>
    <col min="1" max="1" width="9.42578125" style="417" customWidth="1"/>
    <col min="2" max="2" width="23.5703125" style="417" customWidth="1"/>
    <col min="3" max="3" width="8.42578125" style="417" customWidth="1"/>
    <col min="4" max="4" width="1.28515625" style="418" customWidth="1"/>
    <col min="5" max="5" width="10.28515625" style="417" bestFit="1" customWidth="1"/>
    <col min="6" max="6" width="1.85546875" style="418" customWidth="1"/>
    <col min="7" max="7" width="10.140625" style="417" customWidth="1"/>
    <col min="8" max="8" width="1.85546875" style="418" customWidth="1"/>
    <col min="9" max="9" width="11" style="417" customWidth="1"/>
    <col min="10" max="10" width="1.85546875" style="418" customWidth="1"/>
    <col min="11" max="11" width="11.140625" style="417" bestFit="1" customWidth="1"/>
    <col min="12" max="12" width="1.85546875" style="418" customWidth="1"/>
    <col min="13" max="13" width="11.140625" style="417" bestFit="1" customWidth="1"/>
    <col min="14" max="14" width="16.140625" style="935" customWidth="1"/>
    <col min="15" max="16" width="9.140625" style="935"/>
    <col min="17" max="16384" width="9.140625" style="417"/>
  </cols>
  <sheetData>
    <row r="1" spans="1:18">
      <c r="A1" s="417" t="s">
        <v>186</v>
      </c>
    </row>
    <row r="2" spans="1:18" ht="15" customHeight="1"/>
    <row r="3" spans="1:18">
      <c r="A3" s="1383" t="s">
        <v>195</v>
      </c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1383"/>
      <c r="N3" s="1142"/>
      <c r="O3" s="1142"/>
      <c r="P3" s="1142"/>
      <c r="Q3" s="571"/>
      <c r="R3" s="571"/>
    </row>
    <row r="4" spans="1:18">
      <c r="A4" s="1383" t="s">
        <v>401</v>
      </c>
      <c r="B4" s="1383"/>
      <c r="C4" s="1383"/>
      <c r="D4" s="1383"/>
      <c r="E4" s="1383"/>
      <c r="F4" s="1383"/>
      <c r="G4" s="1383"/>
      <c r="H4" s="1383"/>
      <c r="I4" s="1383"/>
      <c r="J4" s="1383"/>
      <c r="K4" s="1383"/>
      <c r="L4" s="1383"/>
      <c r="M4" s="1383"/>
      <c r="N4" s="1142"/>
      <c r="O4" s="1142"/>
      <c r="P4" s="1142"/>
      <c r="Q4" s="571"/>
      <c r="R4" s="571"/>
    </row>
    <row r="5" spans="1:18" ht="14.25" customHeight="1"/>
    <row r="6" spans="1:18">
      <c r="A6" s="465" t="s">
        <v>85</v>
      </c>
      <c r="B6" s="555" t="s">
        <v>477</v>
      </c>
      <c r="C6" s="420"/>
    </row>
    <row r="7" spans="1:18" hidden="1">
      <c r="A7" s="417" t="s">
        <v>2</v>
      </c>
      <c r="B7" s="519" t="s">
        <v>474</v>
      </c>
      <c r="C7" s="519"/>
      <c r="F7" s="417"/>
      <c r="H7" s="417"/>
      <c r="J7" s="417"/>
      <c r="L7" s="417"/>
    </row>
    <row r="8" spans="1:18" hidden="1">
      <c r="A8" s="417" t="s">
        <v>3</v>
      </c>
      <c r="B8" s="520" t="s">
        <v>475</v>
      </c>
      <c r="C8" s="520"/>
      <c r="F8" s="1384"/>
      <c r="G8" s="1384"/>
      <c r="H8" s="1384"/>
      <c r="I8" s="1384"/>
      <c r="J8" s="1384"/>
      <c r="K8" s="1384"/>
      <c r="L8" s="1384"/>
      <c r="M8" s="1384"/>
    </row>
    <row r="9" spans="1:18" hidden="1">
      <c r="A9" s="417" t="s">
        <v>4</v>
      </c>
      <c r="B9" s="521" t="s">
        <v>476</v>
      </c>
      <c r="C9" s="521"/>
    </row>
    <row r="10" spans="1:18" ht="15" customHeight="1">
      <c r="B10" s="519"/>
      <c r="C10" s="519"/>
    </row>
    <row r="11" spans="1:18">
      <c r="A11" s="522"/>
      <c r="B11" s="523"/>
      <c r="C11" s="524" t="s">
        <v>5</v>
      </c>
      <c r="D11" s="1401" t="s">
        <v>7</v>
      </c>
      <c r="E11" s="1401"/>
      <c r="F11" s="1402" t="s">
        <v>1304</v>
      </c>
      <c r="G11" s="1403"/>
      <c r="H11" s="1403"/>
      <c r="I11" s="1403"/>
      <c r="J11" s="1403"/>
      <c r="K11" s="1404"/>
      <c r="L11" s="1401" t="s">
        <v>8</v>
      </c>
      <c r="M11" s="1401"/>
    </row>
    <row r="12" spans="1:18">
      <c r="A12" s="1387" t="s">
        <v>34</v>
      </c>
      <c r="B12" s="1388"/>
      <c r="C12" s="525" t="s">
        <v>6</v>
      </c>
      <c r="D12" s="1389">
        <v>2021</v>
      </c>
      <c r="E12" s="1389"/>
      <c r="F12" s="1390" t="s">
        <v>184</v>
      </c>
      <c r="G12" s="1391"/>
      <c r="H12" s="1390" t="s">
        <v>185</v>
      </c>
      <c r="I12" s="1391"/>
      <c r="J12" s="1394" t="s">
        <v>64</v>
      </c>
      <c r="K12" s="1395"/>
      <c r="L12" s="1389">
        <v>2023</v>
      </c>
      <c r="M12" s="1389"/>
    </row>
    <row r="13" spans="1:18">
      <c r="A13" s="526"/>
      <c r="B13" s="527"/>
      <c r="C13" s="528"/>
      <c r="D13" s="1398" t="s">
        <v>10</v>
      </c>
      <c r="E13" s="1398"/>
      <c r="F13" s="1399" t="s">
        <v>10</v>
      </c>
      <c r="G13" s="1400"/>
      <c r="H13" s="1399" t="s">
        <v>9</v>
      </c>
      <c r="I13" s="1400"/>
      <c r="J13" s="1396"/>
      <c r="K13" s="1397"/>
      <c r="L13" s="1398" t="s">
        <v>27</v>
      </c>
      <c r="M13" s="1398"/>
    </row>
    <row r="14" spans="1:18">
      <c r="A14" s="529" t="s">
        <v>281</v>
      </c>
      <c r="B14" s="530"/>
      <c r="C14" s="531"/>
      <c r="D14" s="532"/>
      <c r="E14" s="7"/>
      <c r="F14" s="532"/>
      <c r="G14" s="7"/>
      <c r="H14" s="532"/>
      <c r="I14" s="7"/>
      <c r="J14" s="532"/>
      <c r="K14" s="7"/>
      <c r="L14" s="532"/>
      <c r="M14" s="7"/>
    </row>
    <row r="15" spans="1:18">
      <c r="A15" s="533" t="s">
        <v>262</v>
      </c>
      <c r="B15" s="530"/>
      <c r="C15" s="531"/>
      <c r="D15" s="532"/>
      <c r="E15" s="7"/>
      <c r="F15" s="532"/>
      <c r="G15" s="7"/>
      <c r="H15" s="532"/>
      <c r="I15" s="7"/>
      <c r="J15" s="532"/>
      <c r="K15" s="7"/>
      <c r="L15" s="532"/>
      <c r="M15" s="7"/>
    </row>
    <row r="16" spans="1:18">
      <c r="A16" s="533" t="s">
        <v>263</v>
      </c>
      <c r="B16" s="530"/>
      <c r="C16" s="534" t="s">
        <v>114</v>
      </c>
      <c r="D16" s="532" t="s">
        <v>15</v>
      </c>
      <c r="E16" s="7">
        <v>678279.56</v>
      </c>
      <c r="F16" s="532" t="s">
        <v>15</v>
      </c>
      <c r="G16" s="7">
        <v>293658</v>
      </c>
      <c r="H16" s="532" t="s">
        <v>15</v>
      </c>
      <c r="I16" s="7">
        <f>K16-G16</f>
        <v>500010</v>
      </c>
      <c r="J16" s="532" t="s">
        <v>15</v>
      </c>
      <c r="K16" s="7">
        <v>793668</v>
      </c>
      <c r="L16" s="532" t="s">
        <v>15</v>
      </c>
      <c r="M16" s="7">
        <v>1322244</v>
      </c>
    </row>
    <row r="17" spans="1:14">
      <c r="A17" s="533" t="s">
        <v>264</v>
      </c>
      <c r="B17" s="530"/>
      <c r="C17" s="534" t="s">
        <v>115</v>
      </c>
      <c r="D17" s="532"/>
      <c r="E17" s="7">
        <v>1482267.05</v>
      </c>
      <c r="F17" s="136">
        <v>0</v>
      </c>
      <c r="G17" s="7">
        <v>975054.48</v>
      </c>
      <c r="H17" s="532"/>
      <c r="I17" s="7">
        <f t="shared" ref="I17:I40" si="0">K17-G17</f>
        <v>1046681.52</v>
      </c>
      <c r="J17" s="532"/>
      <c r="K17" s="7">
        <v>2021736</v>
      </c>
      <c r="L17" s="532"/>
      <c r="M17" s="7">
        <v>1951632</v>
      </c>
    </row>
    <row r="18" spans="1:14">
      <c r="A18" s="533" t="s">
        <v>265</v>
      </c>
      <c r="B18" s="530"/>
      <c r="C18" s="534"/>
      <c r="D18" s="532"/>
      <c r="E18" s="7"/>
      <c r="F18" s="532"/>
      <c r="G18" s="7"/>
      <c r="H18" s="532"/>
      <c r="I18" s="7"/>
      <c r="J18" s="532"/>
      <c r="K18" s="7"/>
      <c r="L18" s="532"/>
      <c r="M18" s="7"/>
      <c r="N18" s="1143"/>
    </row>
    <row r="19" spans="1:14">
      <c r="A19" s="533" t="s">
        <v>266</v>
      </c>
      <c r="B19" s="530"/>
      <c r="C19" s="534" t="s">
        <v>116</v>
      </c>
      <c r="D19" s="532"/>
      <c r="E19" s="7">
        <v>302182.25</v>
      </c>
      <c r="F19" s="532"/>
      <c r="G19" s="7">
        <v>176816.06</v>
      </c>
      <c r="H19" s="532"/>
      <c r="I19" s="7">
        <f t="shared" si="0"/>
        <v>207183.94</v>
      </c>
      <c r="J19" s="532"/>
      <c r="K19" s="7">
        <v>384000</v>
      </c>
      <c r="L19" s="532"/>
      <c r="M19" s="7">
        <v>432000</v>
      </c>
    </row>
    <row r="20" spans="1:14">
      <c r="A20" s="533" t="s">
        <v>267</v>
      </c>
      <c r="B20" s="530"/>
      <c r="C20" s="534" t="s">
        <v>117</v>
      </c>
      <c r="D20" s="532"/>
      <c r="E20" s="7">
        <v>0</v>
      </c>
      <c r="F20" s="532"/>
      <c r="G20" s="7"/>
      <c r="H20" s="532"/>
      <c r="I20" s="7">
        <f t="shared" si="0"/>
        <v>0</v>
      </c>
      <c r="J20" s="532"/>
      <c r="K20" s="7">
        <v>0</v>
      </c>
      <c r="L20" s="532"/>
      <c r="M20" s="7"/>
    </row>
    <row r="21" spans="1:14">
      <c r="A21" s="533" t="s">
        <v>268</v>
      </c>
      <c r="B21" s="537"/>
      <c r="C21" s="534" t="s">
        <v>118</v>
      </c>
      <c r="D21" s="532"/>
      <c r="E21" s="7">
        <v>0</v>
      </c>
      <c r="F21" s="532"/>
      <c r="G21" s="7"/>
      <c r="H21" s="532"/>
      <c r="I21" s="7">
        <f t="shared" si="0"/>
        <v>0</v>
      </c>
      <c r="J21" s="532"/>
      <c r="K21" s="7">
        <v>0</v>
      </c>
      <c r="L21" s="532"/>
      <c r="M21" s="7"/>
    </row>
    <row r="22" spans="1:14">
      <c r="A22" s="533" t="s">
        <v>269</v>
      </c>
      <c r="B22" s="537"/>
      <c r="C22" s="534" t="s">
        <v>119</v>
      </c>
      <c r="D22" s="532"/>
      <c r="E22" s="7">
        <v>72000</v>
      </c>
      <c r="F22" s="532"/>
      <c r="G22" s="7">
        <v>84000</v>
      </c>
      <c r="H22" s="532"/>
      <c r="I22" s="7">
        <f t="shared" si="0"/>
        <v>12000</v>
      </c>
      <c r="J22" s="532"/>
      <c r="K22" s="7">
        <v>96000</v>
      </c>
      <c r="L22" s="532"/>
      <c r="M22" s="7">
        <v>108000</v>
      </c>
    </row>
    <row r="23" spans="1:14">
      <c r="A23" s="533" t="s">
        <v>288</v>
      </c>
      <c r="B23" s="537"/>
      <c r="C23" s="534" t="s">
        <v>157</v>
      </c>
      <c r="D23" s="532"/>
      <c r="E23" s="7">
        <v>0</v>
      </c>
      <c r="F23" s="532"/>
      <c r="G23" s="7">
        <v>0</v>
      </c>
      <c r="H23" s="532"/>
      <c r="I23" s="7">
        <f t="shared" si="0"/>
        <v>0</v>
      </c>
      <c r="J23" s="532"/>
      <c r="K23" s="7">
        <v>0</v>
      </c>
      <c r="L23" s="532"/>
      <c r="M23" s="7"/>
    </row>
    <row r="24" spans="1:14">
      <c r="A24" s="533" t="s">
        <v>289</v>
      </c>
      <c r="B24" s="537"/>
      <c r="C24" s="534" t="s">
        <v>158</v>
      </c>
      <c r="D24" s="532"/>
      <c r="E24" s="7">
        <v>0</v>
      </c>
      <c r="F24" s="532"/>
      <c r="G24" s="7">
        <v>0</v>
      </c>
      <c r="H24" s="532"/>
      <c r="I24" s="7">
        <f t="shared" si="0"/>
        <v>0</v>
      </c>
      <c r="J24" s="532"/>
      <c r="K24" s="7">
        <v>0</v>
      </c>
      <c r="L24" s="532"/>
      <c r="M24" s="7"/>
    </row>
    <row r="25" spans="1:14">
      <c r="A25" s="533" t="s">
        <v>290</v>
      </c>
      <c r="B25" s="537"/>
      <c r="C25" s="534" t="s">
        <v>159</v>
      </c>
      <c r="D25" s="532"/>
      <c r="E25" s="7">
        <v>0</v>
      </c>
      <c r="F25" s="532"/>
      <c r="G25" s="7">
        <v>0</v>
      </c>
      <c r="H25" s="532"/>
      <c r="I25" s="7">
        <f t="shared" si="0"/>
        <v>0</v>
      </c>
      <c r="J25" s="532"/>
      <c r="K25" s="7">
        <v>0</v>
      </c>
      <c r="L25" s="532"/>
      <c r="M25" s="7"/>
    </row>
    <row r="26" spans="1:14">
      <c r="A26" s="533" t="s">
        <v>270</v>
      </c>
      <c r="B26" s="537"/>
      <c r="C26" s="534" t="s">
        <v>120</v>
      </c>
      <c r="D26" s="532"/>
      <c r="E26" s="7">
        <v>61000</v>
      </c>
      <c r="F26" s="532"/>
      <c r="G26" s="7">
        <v>0</v>
      </c>
      <c r="H26" s="532"/>
      <c r="I26" s="7">
        <f t="shared" si="0"/>
        <v>80000</v>
      </c>
      <c r="J26" s="532"/>
      <c r="K26" s="7">
        <v>80000</v>
      </c>
      <c r="L26" s="532"/>
      <c r="M26" s="7">
        <v>90000</v>
      </c>
    </row>
    <row r="27" spans="1:14">
      <c r="A27" s="533" t="s">
        <v>271</v>
      </c>
      <c r="B27" s="530"/>
      <c r="C27" s="534" t="s">
        <v>121</v>
      </c>
      <c r="D27" s="532"/>
      <c r="E27" s="7">
        <v>158517.51999999999</v>
      </c>
      <c r="F27" s="532"/>
      <c r="G27" s="7">
        <v>0</v>
      </c>
      <c r="H27" s="532"/>
      <c r="I27" s="7">
        <f t="shared" si="0"/>
        <v>234617</v>
      </c>
      <c r="J27" s="532"/>
      <c r="K27" s="7">
        <v>234617</v>
      </c>
      <c r="L27" s="532"/>
      <c r="M27" s="7">
        <v>272823</v>
      </c>
    </row>
    <row r="28" spans="1:14">
      <c r="A28" s="533" t="s">
        <v>278</v>
      </c>
      <c r="B28" s="420"/>
      <c r="C28" s="534" t="s">
        <v>258</v>
      </c>
      <c r="D28" s="532"/>
      <c r="E28" s="7"/>
      <c r="F28" s="532"/>
      <c r="G28" s="7"/>
      <c r="H28" s="532"/>
      <c r="I28" s="7"/>
      <c r="J28" s="532"/>
      <c r="K28" s="7"/>
      <c r="L28" s="532"/>
      <c r="M28" s="7"/>
    </row>
    <row r="29" spans="1:14">
      <c r="A29" s="533" t="s">
        <v>279</v>
      </c>
      <c r="B29" s="420"/>
      <c r="C29" s="534"/>
      <c r="D29" s="532"/>
      <c r="E29" s="7">
        <v>174943.38</v>
      </c>
      <c r="F29" s="532"/>
      <c r="G29" s="7">
        <v>212412.78</v>
      </c>
      <c r="H29" s="532"/>
      <c r="I29" s="7">
        <f>K29-G29</f>
        <v>22204.22</v>
      </c>
      <c r="J29" s="532"/>
      <c r="K29" s="7">
        <v>234617</v>
      </c>
      <c r="L29" s="532"/>
      <c r="M29" s="7">
        <v>272823</v>
      </c>
    </row>
    <row r="30" spans="1:14">
      <c r="A30" s="533" t="s">
        <v>280</v>
      </c>
      <c r="B30" s="420"/>
      <c r="C30" s="534"/>
      <c r="D30" s="532"/>
      <c r="E30" s="7">
        <v>0</v>
      </c>
      <c r="F30" s="532"/>
      <c r="G30" s="7">
        <v>39000</v>
      </c>
      <c r="H30" s="532"/>
      <c r="I30" s="7">
        <f>K30-G30</f>
        <v>9000</v>
      </c>
      <c r="J30" s="532"/>
      <c r="K30" s="7">
        <v>48000</v>
      </c>
      <c r="L30" s="532"/>
      <c r="M30" s="7">
        <v>0</v>
      </c>
    </row>
    <row r="31" spans="1:14">
      <c r="A31" s="533" t="s">
        <v>272</v>
      </c>
      <c r="B31" s="530"/>
      <c r="C31" s="534" t="s">
        <v>122</v>
      </c>
      <c r="D31" s="532"/>
      <c r="E31" s="7">
        <v>225256.9</v>
      </c>
      <c r="F31" s="532"/>
      <c r="G31" s="7">
        <v>138805.62</v>
      </c>
      <c r="H31" s="532"/>
      <c r="I31" s="7">
        <f t="shared" si="0"/>
        <v>199043.38</v>
      </c>
      <c r="J31" s="532"/>
      <c r="K31" s="7">
        <v>337849</v>
      </c>
      <c r="L31" s="532"/>
      <c r="M31" s="7">
        <v>392866</v>
      </c>
    </row>
    <row r="32" spans="1:14">
      <c r="A32" s="533" t="s">
        <v>273</v>
      </c>
      <c r="B32" s="530"/>
      <c r="C32" s="534" t="s">
        <v>123</v>
      </c>
      <c r="D32" s="532"/>
      <c r="E32" s="7">
        <v>41032.959999999999</v>
      </c>
      <c r="F32" s="532"/>
      <c r="G32" s="7">
        <v>11670.2</v>
      </c>
      <c r="H32" s="532"/>
      <c r="I32" s="7">
        <f t="shared" si="0"/>
        <v>44741.8</v>
      </c>
      <c r="J32" s="532"/>
      <c r="K32" s="7">
        <v>56412</v>
      </c>
      <c r="L32" s="532"/>
      <c r="M32" s="7">
        <v>21600</v>
      </c>
    </row>
    <row r="33" spans="1:14">
      <c r="A33" s="533" t="s">
        <v>274</v>
      </c>
      <c r="B33" s="530"/>
      <c r="C33" s="534" t="s">
        <v>124</v>
      </c>
      <c r="D33" s="532"/>
      <c r="E33" s="7">
        <v>30699.57</v>
      </c>
      <c r="F33" s="532"/>
      <c r="G33" s="7">
        <v>20423.560000000001</v>
      </c>
      <c r="H33" s="532"/>
      <c r="I33" s="7">
        <f t="shared" si="0"/>
        <v>35988.44</v>
      </c>
      <c r="J33" s="532"/>
      <c r="K33" s="7">
        <v>56412</v>
      </c>
      <c r="L33" s="532"/>
      <c r="M33" s="7">
        <v>73800</v>
      </c>
    </row>
    <row r="34" spans="1:14">
      <c r="A34" s="533" t="s">
        <v>275</v>
      </c>
      <c r="B34" s="530"/>
      <c r="C34" s="534" t="s">
        <v>125</v>
      </c>
      <c r="D34" s="532"/>
      <c r="E34" s="7">
        <v>14200</v>
      </c>
      <c r="F34" s="532"/>
      <c r="G34" s="7">
        <v>8400</v>
      </c>
      <c r="H34" s="532"/>
      <c r="I34" s="7">
        <f t="shared" si="0"/>
        <v>10800</v>
      </c>
      <c r="J34" s="532"/>
      <c r="K34" s="7">
        <v>19200</v>
      </c>
      <c r="L34" s="532"/>
      <c r="M34" s="7">
        <v>21600</v>
      </c>
    </row>
    <row r="35" spans="1:14">
      <c r="A35" s="533" t="s">
        <v>291</v>
      </c>
      <c r="B35" s="420"/>
      <c r="C35" s="534" t="s">
        <v>160</v>
      </c>
      <c r="D35" s="532"/>
      <c r="E35" s="7">
        <v>0</v>
      </c>
      <c r="F35" s="532"/>
      <c r="G35" s="7">
        <v>5971.79</v>
      </c>
      <c r="H35" s="532"/>
      <c r="I35" s="7">
        <f t="shared" si="0"/>
        <v>506028.21</v>
      </c>
      <c r="J35" s="532"/>
      <c r="K35" s="7">
        <v>512000</v>
      </c>
      <c r="L35" s="532"/>
      <c r="M35" s="7">
        <v>0</v>
      </c>
    </row>
    <row r="36" spans="1:14">
      <c r="A36" s="533" t="s">
        <v>276</v>
      </c>
      <c r="B36" s="420"/>
      <c r="C36" s="534" t="s">
        <v>161</v>
      </c>
      <c r="D36" s="532"/>
      <c r="E36" s="7"/>
      <c r="F36" s="532"/>
      <c r="G36" s="7"/>
      <c r="H36" s="532"/>
      <c r="I36" s="7"/>
      <c r="J36" s="532"/>
      <c r="K36" s="7"/>
      <c r="L36" s="532"/>
      <c r="M36" s="7"/>
    </row>
    <row r="37" spans="1:14">
      <c r="A37" s="533" t="s">
        <v>764</v>
      </c>
      <c r="B37" s="420"/>
      <c r="C37" s="534"/>
      <c r="D37" s="532"/>
      <c r="E37" s="7">
        <v>0</v>
      </c>
      <c r="F37" s="532"/>
      <c r="G37" s="7">
        <v>0</v>
      </c>
      <c r="H37" s="532"/>
      <c r="I37" s="7">
        <f>K37-G37</f>
        <v>124376</v>
      </c>
      <c r="J37" s="532"/>
      <c r="K37" s="7">
        <v>124376</v>
      </c>
      <c r="L37" s="532"/>
      <c r="M37" s="7">
        <v>144629</v>
      </c>
    </row>
    <row r="38" spans="1:14">
      <c r="A38" s="533" t="s">
        <v>292</v>
      </c>
      <c r="B38" s="420"/>
      <c r="C38" s="534"/>
      <c r="D38" s="532"/>
      <c r="E38" s="7">
        <v>0</v>
      </c>
      <c r="F38" s="532"/>
      <c r="G38" s="7">
        <v>0</v>
      </c>
      <c r="H38" s="532"/>
      <c r="I38" s="7">
        <f>K38-G38</f>
        <v>0</v>
      </c>
      <c r="J38" s="532"/>
      <c r="K38" s="7">
        <v>0</v>
      </c>
      <c r="L38" s="532"/>
      <c r="M38" s="7">
        <v>184081</v>
      </c>
    </row>
    <row r="39" spans="1:14">
      <c r="A39" s="533" t="s">
        <v>259</v>
      </c>
      <c r="B39" s="420"/>
      <c r="C39" s="534"/>
      <c r="D39" s="532"/>
      <c r="E39" s="7">
        <v>10000</v>
      </c>
      <c r="F39" s="532"/>
      <c r="G39" s="7"/>
      <c r="H39" s="532"/>
      <c r="I39" s="7">
        <f t="shared" si="0"/>
        <v>0</v>
      </c>
      <c r="J39" s="532"/>
      <c r="K39" s="7">
        <v>0</v>
      </c>
      <c r="L39" s="532"/>
      <c r="M39" s="7"/>
    </row>
    <row r="40" spans="1:14">
      <c r="A40" s="533" t="s">
        <v>260</v>
      </c>
      <c r="B40" s="420"/>
      <c r="C40" s="534"/>
      <c r="D40" s="532"/>
      <c r="E40" s="7">
        <v>63000</v>
      </c>
      <c r="F40" s="535"/>
      <c r="G40" s="7">
        <v>0</v>
      </c>
      <c r="H40" s="535"/>
      <c r="I40" s="7">
        <f t="shared" si="0"/>
        <v>80000</v>
      </c>
      <c r="J40" s="535"/>
      <c r="K40" s="105">
        <v>80000</v>
      </c>
      <c r="L40" s="535"/>
      <c r="M40" s="105">
        <v>90000</v>
      </c>
    </row>
    <row r="41" spans="1:14" ht="16.5" customHeight="1">
      <c r="A41" s="1392" t="s">
        <v>14</v>
      </c>
      <c r="B41" s="1393"/>
      <c r="C41" s="534"/>
      <c r="D41" s="538" t="s">
        <v>15</v>
      </c>
      <c r="E41" s="110">
        <f>SUM(E16:E40)</f>
        <v>3313379.19</v>
      </c>
      <c r="F41" s="538" t="s">
        <v>15</v>
      </c>
      <c r="G41" s="110">
        <f>SUM(G16:G40)</f>
        <v>1966212.49</v>
      </c>
      <c r="H41" s="538" t="s">
        <v>15</v>
      </c>
      <c r="I41" s="110">
        <f>SUM(I16:I40)</f>
        <v>3112674.51</v>
      </c>
      <c r="J41" s="538" t="s">
        <v>15</v>
      </c>
      <c r="K41" s="110">
        <f>SUM(K16:K40)</f>
        <v>5078887</v>
      </c>
      <c r="L41" s="538" t="s">
        <v>15</v>
      </c>
      <c r="M41" s="110">
        <f>SUM(M16:M40)</f>
        <v>5378098</v>
      </c>
      <c r="N41" s="1143">
        <v>4060292</v>
      </c>
    </row>
    <row r="42" spans="1:14" ht="0.75" customHeight="1">
      <c r="A42" s="572"/>
      <c r="B42" s="573"/>
      <c r="C42" s="534"/>
      <c r="D42" s="539"/>
      <c r="E42" s="174"/>
      <c r="F42" s="539"/>
      <c r="G42" s="174"/>
      <c r="H42" s="539"/>
      <c r="I42" s="174"/>
      <c r="J42" s="539"/>
      <c r="K42" s="174"/>
      <c r="L42" s="539"/>
      <c r="M42" s="174"/>
      <c r="N42" s="1143"/>
    </row>
    <row r="43" spans="1:14">
      <c r="A43" s="529" t="s">
        <v>282</v>
      </c>
      <c r="B43" s="530"/>
      <c r="C43" s="534"/>
      <c r="D43" s="532"/>
      <c r="E43" s="7"/>
      <c r="F43" s="532"/>
      <c r="G43" s="7"/>
      <c r="H43" s="532"/>
      <c r="I43" s="7"/>
      <c r="J43" s="532"/>
      <c r="K43" s="7"/>
      <c r="L43" s="532"/>
      <c r="M43" s="7"/>
    </row>
    <row r="44" spans="1:14">
      <c r="A44" s="533" t="s">
        <v>41</v>
      </c>
      <c r="B44" s="530"/>
      <c r="C44" s="534" t="s">
        <v>126</v>
      </c>
      <c r="D44" s="532" t="s">
        <v>15</v>
      </c>
      <c r="E44" s="7">
        <v>52500</v>
      </c>
      <c r="F44" s="532" t="s">
        <v>15</v>
      </c>
      <c r="G44" s="7">
        <v>0</v>
      </c>
      <c r="H44" s="422" t="s">
        <v>15</v>
      </c>
      <c r="I44" s="7">
        <f>K44-G44</f>
        <v>90212</v>
      </c>
      <c r="J44" s="532" t="s">
        <v>15</v>
      </c>
      <c r="K44" s="7">
        <v>90212</v>
      </c>
      <c r="L44" s="532" t="s">
        <v>15</v>
      </c>
      <c r="M44" s="7">
        <v>100000</v>
      </c>
    </row>
    <row r="45" spans="1:14">
      <c r="A45" s="533" t="s">
        <v>42</v>
      </c>
      <c r="B45" s="530"/>
      <c r="C45" s="534" t="s">
        <v>127</v>
      </c>
      <c r="D45" s="532"/>
      <c r="E45" s="157">
        <v>46700</v>
      </c>
      <c r="F45" s="532"/>
      <c r="G45" s="7">
        <v>14700</v>
      </c>
      <c r="H45" s="422"/>
      <c r="I45" s="7">
        <f t="shared" ref="I45:I65" si="1">K45-G45</f>
        <v>35300</v>
      </c>
      <c r="J45" s="532"/>
      <c r="K45" s="7">
        <v>50000</v>
      </c>
      <c r="L45" s="532"/>
      <c r="M45" s="7">
        <v>100000</v>
      </c>
    </row>
    <row r="46" spans="1:14">
      <c r="A46" s="533" t="s">
        <v>28</v>
      </c>
      <c r="B46" s="530"/>
      <c r="C46" s="534" t="s">
        <v>128</v>
      </c>
      <c r="D46" s="532"/>
      <c r="E46" s="157">
        <v>21381</v>
      </c>
      <c r="F46" s="532"/>
      <c r="G46" s="7">
        <v>4680</v>
      </c>
      <c r="H46" s="422"/>
      <c r="I46" s="7">
        <f t="shared" si="1"/>
        <v>195320</v>
      </c>
      <c r="J46" s="532"/>
      <c r="K46" s="7">
        <v>200000</v>
      </c>
      <c r="L46" s="532"/>
      <c r="M46" s="7">
        <v>240000</v>
      </c>
    </row>
    <row r="47" spans="1:14">
      <c r="A47" s="533" t="s">
        <v>47</v>
      </c>
      <c r="B47" s="530"/>
      <c r="C47" s="534" t="s">
        <v>165</v>
      </c>
      <c r="D47" s="532"/>
      <c r="E47" s="157">
        <v>226380</v>
      </c>
      <c r="F47" s="532"/>
      <c r="G47" s="7">
        <v>106260</v>
      </c>
      <c r="H47" s="422"/>
      <c r="I47" s="7">
        <f t="shared" si="1"/>
        <v>293740</v>
      </c>
      <c r="J47" s="532"/>
      <c r="K47" s="7">
        <v>400000</v>
      </c>
      <c r="L47" s="532"/>
      <c r="M47" s="7">
        <v>400000</v>
      </c>
    </row>
    <row r="48" spans="1:14">
      <c r="A48" s="533" t="s">
        <v>130</v>
      </c>
      <c r="B48" s="530"/>
      <c r="C48" s="534" t="s">
        <v>129</v>
      </c>
      <c r="D48" s="532"/>
      <c r="E48" s="157">
        <v>26269.5</v>
      </c>
      <c r="F48" s="532"/>
      <c r="G48" s="7">
        <v>17500</v>
      </c>
      <c r="H48" s="422"/>
      <c r="I48" s="7">
        <f t="shared" si="1"/>
        <v>32500</v>
      </c>
      <c r="J48" s="532"/>
      <c r="K48" s="7">
        <v>50000</v>
      </c>
      <c r="L48" s="532"/>
      <c r="M48" s="7">
        <v>200000</v>
      </c>
    </row>
    <row r="49" spans="1:13">
      <c r="A49" s="533" t="s">
        <v>497</v>
      </c>
      <c r="B49" s="530"/>
      <c r="C49" s="534" t="s">
        <v>174</v>
      </c>
      <c r="D49" s="532"/>
      <c r="E49" s="157">
        <v>108047.85</v>
      </c>
      <c r="F49" s="532"/>
      <c r="G49" s="7">
        <v>48196.57</v>
      </c>
      <c r="H49" s="422"/>
      <c r="I49" s="7">
        <f t="shared" si="1"/>
        <v>251803.43</v>
      </c>
      <c r="J49" s="532"/>
      <c r="K49" s="7">
        <v>300000</v>
      </c>
      <c r="L49" s="532"/>
      <c r="M49" s="7">
        <v>500000</v>
      </c>
    </row>
    <row r="50" spans="1:13">
      <c r="A50" s="533" t="s">
        <v>29</v>
      </c>
      <c r="B50" s="530"/>
      <c r="C50" s="534" t="s">
        <v>166</v>
      </c>
      <c r="D50" s="532"/>
      <c r="E50" s="157">
        <v>337289.65</v>
      </c>
      <c r="F50" s="532"/>
      <c r="G50" s="7">
        <v>113412.9</v>
      </c>
      <c r="H50" s="422"/>
      <c r="I50" s="7">
        <f t="shared" si="1"/>
        <v>286587.09999999998</v>
      </c>
      <c r="J50" s="532"/>
      <c r="K50" s="7">
        <v>400000</v>
      </c>
      <c r="L50" s="532"/>
      <c r="M50" s="7">
        <v>750000</v>
      </c>
    </row>
    <row r="51" spans="1:13">
      <c r="A51" s="533" t="s">
        <v>46</v>
      </c>
      <c r="B51" s="530"/>
      <c r="C51" s="534" t="s">
        <v>167</v>
      </c>
      <c r="D51" s="532"/>
      <c r="E51" s="157">
        <v>634913.1</v>
      </c>
      <c r="F51" s="532"/>
      <c r="G51" s="7">
        <v>274205.59000000003</v>
      </c>
      <c r="H51" s="422"/>
      <c r="I51" s="7">
        <f t="shared" si="1"/>
        <v>625794.40999999992</v>
      </c>
      <c r="J51" s="532"/>
      <c r="K51" s="7">
        <v>900000</v>
      </c>
      <c r="L51" s="532"/>
      <c r="M51" s="7">
        <v>1000000</v>
      </c>
    </row>
    <row r="52" spans="1:13">
      <c r="A52" s="533" t="s">
        <v>163</v>
      </c>
      <c r="B52" s="530"/>
      <c r="C52" s="540" t="s">
        <v>133</v>
      </c>
      <c r="D52" s="532"/>
      <c r="E52" s="157">
        <v>24047.64</v>
      </c>
      <c r="F52" s="532"/>
      <c r="G52" s="7">
        <v>4985</v>
      </c>
      <c r="H52" s="422"/>
      <c r="I52" s="7">
        <f t="shared" si="1"/>
        <v>35015</v>
      </c>
      <c r="J52" s="532"/>
      <c r="K52" s="7">
        <v>40000</v>
      </c>
      <c r="L52" s="532"/>
      <c r="M52" s="7">
        <v>0</v>
      </c>
    </row>
    <row r="53" spans="1:13">
      <c r="A53" s="533" t="s">
        <v>135</v>
      </c>
      <c r="B53" s="530"/>
      <c r="C53" s="534" t="s">
        <v>134</v>
      </c>
      <c r="D53" s="532"/>
      <c r="E53" s="157">
        <v>34969.19</v>
      </c>
      <c r="F53" s="532"/>
      <c r="G53" s="7">
        <v>17394.189999999999</v>
      </c>
      <c r="H53" s="422"/>
      <c r="I53" s="7">
        <f t="shared" si="1"/>
        <v>18605.810000000001</v>
      </c>
      <c r="J53" s="532"/>
      <c r="K53" s="7">
        <v>36000</v>
      </c>
      <c r="L53" s="532"/>
      <c r="M53" s="7">
        <v>0</v>
      </c>
    </row>
    <row r="54" spans="1:13">
      <c r="A54" s="533" t="s">
        <v>88</v>
      </c>
      <c r="B54" s="530"/>
      <c r="C54" s="534" t="s">
        <v>182</v>
      </c>
      <c r="D54" s="532"/>
      <c r="E54" s="157">
        <v>0</v>
      </c>
      <c r="F54" s="532"/>
      <c r="G54" s="7">
        <v>0</v>
      </c>
      <c r="H54" s="422"/>
      <c r="I54" s="7">
        <f t="shared" si="1"/>
        <v>20000</v>
      </c>
      <c r="J54" s="532"/>
      <c r="K54" s="7">
        <v>20000</v>
      </c>
      <c r="L54" s="532"/>
      <c r="M54" s="7">
        <v>0</v>
      </c>
    </row>
    <row r="55" spans="1:13">
      <c r="A55" s="533" t="s">
        <v>0</v>
      </c>
      <c r="B55" s="530"/>
      <c r="C55" s="534" t="s">
        <v>164</v>
      </c>
      <c r="D55" s="532"/>
      <c r="E55" s="157">
        <v>0</v>
      </c>
      <c r="F55" s="532"/>
      <c r="G55" s="7"/>
      <c r="H55" s="422"/>
      <c r="I55" s="7">
        <f t="shared" si="1"/>
        <v>0</v>
      </c>
      <c r="J55" s="532"/>
      <c r="K55" s="7">
        <v>0</v>
      </c>
      <c r="L55" s="532"/>
      <c r="M55" s="7">
        <v>0</v>
      </c>
    </row>
    <row r="56" spans="1:13">
      <c r="A56" s="533" t="s">
        <v>177</v>
      </c>
      <c r="B56" s="530"/>
      <c r="C56" s="534" t="s">
        <v>176</v>
      </c>
      <c r="D56" s="532"/>
      <c r="E56" s="157">
        <v>43964</v>
      </c>
      <c r="F56" s="532"/>
      <c r="G56" s="7">
        <v>0</v>
      </c>
      <c r="H56" s="422"/>
      <c r="I56" s="7">
        <f t="shared" si="1"/>
        <v>100000</v>
      </c>
      <c r="J56" s="532"/>
      <c r="K56" s="7">
        <v>100000</v>
      </c>
      <c r="L56" s="532"/>
      <c r="M56" s="7">
        <v>200000</v>
      </c>
    </row>
    <row r="57" spans="1:13">
      <c r="A57" s="533" t="s">
        <v>142</v>
      </c>
      <c r="B57" s="530"/>
      <c r="C57" s="534" t="s">
        <v>141</v>
      </c>
      <c r="D57" s="532"/>
      <c r="E57" s="157">
        <v>1200</v>
      </c>
      <c r="F57" s="532"/>
      <c r="G57" s="7">
        <v>4910</v>
      </c>
      <c r="H57" s="422"/>
      <c r="I57" s="7">
        <f t="shared" si="1"/>
        <v>35090</v>
      </c>
      <c r="J57" s="532"/>
      <c r="K57" s="7">
        <v>40000</v>
      </c>
      <c r="L57" s="532"/>
      <c r="M57" s="7">
        <v>100000</v>
      </c>
    </row>
    <row r="58" spans="1:13">
      <c r="A58" s="533" t="s">
        <v>145</v>
      </c>
      <c r="B58" s="530"/>
      <c r="C58" s="534" t="s">
        <v>144</v>
      </c>
      <c r="D58" s="532"/>
      <c r="E58" s="157">
        <v>0</v>
      </c>
      <c r="F58" s="532"/>
      <c r="G58" s="7">
        <v>0</v>
      </c>
      <c r="H58" s="422"/>
      <c r="I58" s="7">
        <f t="shared" si="1"/>
        <v>20000</v>
      </c>
      <c r="J58" s="532"/>
      <c r="K58" s="7">
        <v>20000</v>
      </c>
      <c r="L58" s="532"/>
      <c r="M58" s="7">
        <v>100000</v>
      </c>
    </row>
    <row r="59" spans="1:13">
      <c r="A59" s="533" t="s">
        <v>44</v>
      </c>
      <c r="B59" s="530"/>
      <c r="C59" s="534" t="s">
        <v>168</v>
      </c>
      <c r="D59" s="532"/>
      <c r="E59" s="157">
        <v>0</v>
      </c>
      <c r="F59" s="532"/>
      <c r="G59" s="7">
        <v>0</v>
      </c>
      <c r="H59" s="422"/>
      <c r="I59" s="7">
        <f t="shared" si="1"/>
        <v>760000</v>
      </c>
      <c r="J59" s="532"/>
      <c r="K59" s="7">
        <v>760000</v>
      </c>
      <c r="L59" s="532"/>
      <c r="M59" s="7">
        <v>760000</v>
      </c>
    </row>
    <row r="60" spans="1:13">
      <c r="A60" s="533" t="s">
        <v>33</v>
      </c>
      <c r="B60" s="573"/>
      <c r="C60" s="534" t="s">
        <v>148</v>
      </c>
      <c r="D60" s="532"/>
      <c r="E60" s="157"/>
      <c r="F60" s="532"/>
      <c r="G60" s="7"/>
      <c r="H60" s="422"/>
      <c r="I60" s="7">
        <f t="shared" si="1"/>
        <v>0</v>
      </c>
      <c r="J60" s="532"/>
      <c r="K60" s="7">
        <v>0</v>
      </c>
      <c r="L60" s="532"/>
      <c r="M60" s="7">
        <v>0</v>
      </c>
    </row>
    <row r="61" spans="1:13" ht="11.25" customHeight="1">
      <c r="A61" s="533"/>
      <c r="B61" s="530" t="s">
        <v>342</v>
      </c>
      <c r="C61" s="534"/>
      <c r="D61" s="532"/>
      <c r="E61" s="157">
        <v>2526232.58</v>
      </c>
      <c r="F61" s="532"/>
      <c r="G61" s="7">
        <v>1168886.68</v>
      </c>
      <c r="H61" s="422"/>
      <c r="I61" s="7">
        <f t="shared" si="1"/>
        <v>1630014.32</v>
      </c>
      <c r="J61" s="532"/>
      <c r="K61" s="7">
        <v>2798901</v>
      </c>
      <c r="L61" s="532"/>
      <c r="M61" s="7">
        <v>2580402</v>
      </c>
    </row>
    <row r="62" spans="1:13">
      <c r="A62" s="533"/>
      <c r="B62" s="530" t="s">
        <v>516</v>
      </c>
      <c r="C62" s="534"/>
      <c r="D62" s="532"/>
      <c r="E62" s="157">
        <v>34500</v>
      </c>
      <c r="F62" s="532"/>
      <c r="G62" s="7">
        <v>0</v>
      </c>
      <c r="H62" s="422"/>
      <c r="I62" s="7">
        <f t="shared" si="1"/>
        <v>60000</v>
      </c>
      <c r="J62" s="532"/>
      <c r="K62" s="7">
        <v>60000</v>
      </c>
      <c r="L62" s="532"/>
      <c r="M62" s="7">
        <v>61500</v>
      </c>
    </row>
    <row r="63" spans="1:13">
      <c r="A63" s="541"/>
      <c r="B63" s="542" t="s">
        <v>343</v>
      </c>
      <c r="C63" s="543"/>
      <c r="D63" s="535"/>
      <c r="E63" s="183">
        <v>33500</v>
      </c>
      <c r="F63" s="535"/>
      <c r="G63" s="105">
        <v>10000</v>
      </c>
      <c r="H63" s="559"/>
      <c r="I63" s="105">
        <f t="shared" si="1"/>
        <v>26000</v>
      </c>
      <c r="J63" s="535"/>
      <c r="K63" s="105">
        <v>36000</v>
      </c>
      <c r="L63" s="535"/>
      <c r="M63" s="105">
        <v>30000</v>
      </c>
    </row>
    <row r="64" spans="1:13">
      <c r="A64" s="533"/>
      <c r="B64" s="530" t="s">
        <v>515</v>
      </c>
      <c r="C64" s="534"/>
      <c r="D64" s="532"/>
      <c r="E64" s="157">
        <v>0</v>
      </c>
      <c r="F64" s="532"/>
      <c r="G64" s="7">
        <v>0</v>
      </c>
      <c r="H64" s="422"/>
      <c r="I64" s="7">
        <f t="shared" si="1"/>
        <v>0</v>
      </c>
      <c r="J64" s="532"/>
      <c r="K64" s="7">
        <v>0</v>
      </c>
      <c r="L64" s="874"/>
      <c r="M64" s="117">
        <v>0</v>
      </c>
    </row>
    <row r="65" spans="1:20">
      <c r="A65" s="533"/>
      <c r="B65" s="530" t="s">
        <v>387</v>
      </c>
      <c r="C65" s="534"/>
      <c r="D65" s="532"/>
      <c r="E65" s="157">
        <v>57900</v>
      </c>
      <c r="F65" s="532"/>
      <c r="G65" s="105">
        <v>39000</v>
      </c>
      <c r="H65" s="422"/>
      <c r="I65" s="7">
        <f t="shared" si="1"/>
        <v>81000</v>
      </c>
      <c r="J65" s="532"/>
      <c r="K65" s="105">
        <v>120000</v>
      </c>
      <c r="L65" s="535"/>
      <c r="M65" s="105">
        <v>0</v>
      </c>
    </row>
    <row r="66" spans="1:20" ht="15" customHeight="1">
      <c r="A66" s="1392" t="s">
        <v>13</v>
      </c>
      <c r="B66" s="1393"/>
      <c r="C66" s="534"/>
      <c r="D66" s="538" t="s">
        <v>15</v>
      </c>
      <c r="E66" s="110">
        <f>SUM(E43:E65)</f>
        <v>4209794.51</v>
      </c>
      <c r="F66" s="538" t="s">
        <v>15</v>
      </c>
      <c r="G66" s="110">
        <f>SUM(G44:G65)</f>
        <v>1824130.93</v>
      </c>
      <c r="H66" s="538" t="s">
        <v>15</v>
      </c>
      <c r="I66" s="110">
        <f>SUM(I44:I65)</f>
        <v>4596982.07</v>
      </c>
      <c r="J66" s="538" t="s">
        <v>15</v>
      </c>
      <c r="K66" s="110">
        <f>SUM(K44:K65)</f>
        <v>6421113</v>
      </c>
      <c r="L66" s="538" t="s">
        <v>15</v>
      </c>
      <c r="M66" s="110">
        <f>SUM(M44:M65)</f>
        <v>7121902</v>
      </c>
    </row>
    <row r="67" spans="1:20">
      <c r="A67" s="544" t="s">
        <v>283</v>
      </c>
      <c r="B67" s="573"/>
      <c r="C67" s="534"/>
      <c r="D67" s="545"/>
      <c r="E67" s="123"/>
      <c r="F67" s="539"/>
      <c r="G67" s="174"/>
      <c r="H67" s="539"/>
      <c r="I67" s="174"/>
      <c r="J67" s="539"/>
      <c r="K67" s="174"/>
      <c r="L67" s="539"/>
      <c r="M67" s="174"/>
    </row>
    <row r="68" spans="1:20">
      <c r="A68" s="546" t="s">
        <v>51</v>
      </c>
      <c r="B68" s="573"/>
      <c r="C68" s="534" t="s">
        <v>149</v>
      </c>
      <c r="D68" s="532"/>
      <c r="E68" s="7"/>
      <c r="F68" s="532"/>
      <c r="G68" s="7"/>
      <c r="H68" s="532"/>
      <c r="I68" s="7"/>
      <c r="J68" s="532"/>
      <c r="K68" s="7"/>
      <c r="L68" s="532"/>
      <c r="M68" s="7"/>
    </row>
    <row r="69" spans="1:20">
      <c r="A69" s="546" t="s">
        <v>152</v>
      </c>
      <c r="B69" s="573"/>
      <c r="C69" s="534" t="s">
        <v>150</v>
      </c>
      <c r="D69" s="545"/>
      <c r="E69" s="7"/>
      <c r="F69" s="545"/>
      <c r="G69" s="7"/>
      <c r="H69" s="545"/>
      <c r="I69" s="7"/>
      <c r="J69" s="545"/>
      <c r="K69" s="7"/>
      <c r="L69" s="545"/>
      <c r="M69" s="7"/>
      <c r="N69" s="990"/>
    </row>
    <row r="70" spans="1:20">
      <c r="A70" s="546" t="s">
        <v>153</v>
      </c>
      <c r="B70" s="573"/>
      <c r="C70" s="534" t="s">
        <v>151</v>
      </c>
      <c r="D70" s="545"/>
      <c r="E70" s="7"/>
      <c r="F70" s="545"/>
      <c r="G70" s="7"/>
      <c r="H70" s="545"/>
      <c r="I70" s="7"/>
      <c r="J70" s="545"/>
      <c r="K70" s="7"/>
      <c r="L70" s="545"/>
      <c r="M70" s="7"/>
    </row>
    <row r="71" spans="1:20">
      <c r="A71" s="546" t="s">
        <v>58</v>
      </c>
      <c r="B71" s="573"/>
      <c r="C71" s="534" t="s">
        <v>155</v>
      </c>
      <c r="D71" s="532"/>
      <c r="E71" s="556"/>
      <c r="F71" s="532"/>
      <c r="G71" s="556"/>
      <c r="H71" s="532"/>
      <c r="I71" s="556"/>
      <c r="J71" s="532"/>
      <c r="K71" s="556"/>
      <c r="L71" s="532"/>
      <c r="M71" s="556"/>
      <c r="N71" s="935" t="s">
        <v>11</v>
      </c>
    </row>
    <row r="72" spans="1:20" ht="12" customHeight="1">
      <c r="A72" s="546" t="s">
        <v>50</v>
      </c>
      <c r="B72" s="573"/>
      <c r="C72" s="534" t="s">
        <v>156</v>
      </c>
      <c r="D72" s="532"/>
      <c r="E72" s="7"/>
      <c r="F72" s="532"/>
      <c r="G72" s="7"/>
      <c r="H72" s="532"/>
      <c r="I72" s="7"/>
      <c r="J72" s="532"/>
      <c r="K72" s="7"/>
      <c r="L72" s="532"/>
      <c r="M72" s="7"/>
    </row>
    <row r="73" spans="1:20" ht="12.6" customHeight="1">
      <c r="A73" s="546" t="s">
        <v>334</v>
      </c>
      <c r="B73" s="573"/>
      <c r="C73" s="534" t="s">
        <v>335</v>
      </c>
      <c r="D73" s="545"/>
      <c r="E73" s="7"/>
      <c r="F73" s="545"/>
      <c r="G73" s="7"/>
      <c r="H73" s="545"/>
      <c r="I73" s="7"/>
      <c r="J73" s="545"/>
      <c r="K73" s="7"/>
      <c r="L73" s="532"/>
      <c r="M73" s="7"/>
    </row>
    <row r="74" spans="1:20">
      <c r="A74" s="546" t="s">
        <v>319</v>
      </c>
      <c r="B74" s="573"/>
      <c r="C74" s="534" t="s">
        <v>320</v>
      </c>
      <c r="D74" s="532"/>
      <c r="E74" s="7"/>
      <c r="F74" s="532"/>
      <c r="G74" s="7"/>
      <c r="H74" s="532"/>
      <c r="I74" s="7"/>
      <c r="J74" s="532"/>
      <c r="K74" s="7"/>
      <c r="L74" s="535"/>
      <c r="M74" s="105"/>
      <c r="N74" s="935" t="s">
        <v>11</v>
      </c>
    </row>
    <row r="75" spans="1:20" ht="15.75" customHeight="1">
      <c r="A75" s="1392" t="s">
        <v>16</v>
      </c>
      <c r="B75" s="1393"/>
      <c r="C75" s="534"/>
      <c r="D75" s="538" t="s">
        <v>15</v>
      </c>
      <c r="E75" s="110">
        <f>SUM(E68:E74)</f>
        <v>0</v>
      </c>
      <c r="F75" s="538" t="s">
        <v>15</v>
      </c>
      <c r="G75" s="110">
        <f>SUM(G68:G74)</f>
        <v>0</v>
      </c>
      <c r="H75" s="538" t="s">
        <v>15</v>
      </c>
      <c r="I75" s="110">
        <f>SUM(I68:I74)</f>
        <v>0</v>
      </c>
      <c r="J75" s="538" t="s">
        <v>15</v>
      </c>
      <c r="K75" s="110">
        <f>SUM(K68:K74)</f>
        <v>0</v>
      </c>
      <c r="L75" s="538" t="s">
        <v>15</v>
      </c>
      <c r="M75" s="110">
        <f>SUM(M68:M74)</f>
        <v>0</v>
      </c>
    </row>
    <row r="76" spans="1:20" ht="4.5" customHeight="1">
      <c r="A76" s="572"/>
      <c r="B76" s="573"/>
      <c r="C76" s="547"/>
      <c r="D76" s="539"/>
      <c r="E76" s="218"/>
      <c r="F76" s="539"/>
      <c r="G76" s="174"/>
      <c r="H76" s="548"/>
      <c r="I76" s="218"/>
      <c r="J76" s="539"/>
      <c r="K76" s="174"/>
      <c r="L76" s="539"/>
      <c r="M76" s="174"/>
    </row>
    <row r="77" spans="1:20" ht="6.75" customHeight="1">
      <c r="A77" s="572"/>
      <c r="B77" s="573"/>
      <c r="C77" s="534"/>
      <c r="D77" s="545"/>
      <c r="E77" s="123"/>
      <c r="F77" s="545"/>
      <c r="G77" s="123"/>
      <c r="H77" s="545"/>
      <c r="I77" s="123"/>
      <c r="J77" s="545"/>
      <c r="K77" s="123"/>
      <c r="L77" s="545"/>
      <c r="M77" s="123"/>
    </row>
    <row r="78" spans="1:20">
      <c r="A78" s="1385" t="s">
        <v>277</v>
      </c>
      <c r="B78" s="1386"/>
      <c r="C78" s="543"/>
      <c r="D78" s="550" t="s">
        <v>15</v>
      </c>
      <c r="E78" s="126">
        <f>E75+E66+E41</f>
        <v>7523173.6999999993</v>
      </c>
      <c r="F78" s="550" t="s">
        <v>15</v>
      </c>
      <c r="G78" s="126">
        <f>G75+G66+G41</f>
        <v>3790343.42</v>
      </c>
      <c r="H78" s="550" t="s">
        <v>15</v>
      </c>
      <c r="I78" s="126">
        <f>I75+I66+I41</f>
        <v>7709656.5800000001</v>
      </c>
      <c r="J78" s="550" t="s">
        <v>15</v>
      </c>
      <c r="K78" s="126">
        <f>K75+K66+K41</f>
        <v>11500000</v>
      </c>
      <c r="L78" s="550" t="s">
        <v>15</v>
      </c>
      <c r="M78" s="126">
        <f>M75+M66+M41</f>
        <v>12500000</v>
      </c>
      <c r="N78" s="990">
        <v>11500000</v>
      </c>
    </row>
    <row r="79" spans="1:20" ht="16.5" customHeight="1">
      <c r="A79" s="488" t="s">
        <v>1623</v>
      </c>
      <c r="B79" s="557"/>
      <c r="C79" s="421"/>
      <c r="D79" s="558"/>
      <c r="E79" s="175"/>
      <c r="F79" s="558"/>
      <c r="G79" s="175"/>
      <c r="H79" s="558"/>
      <c r="I79" s="175"/>
      <c r="J79" s="558"/>
      <c r="K79" s="175"/>
      <c r="L79" s="558"/>
      <c r="M79" s="175"/>
      <c r="N79" s="1143">
        <f>M78-N78</f>
        <v>1000000</v>
      </c>
    </row>
    <row r="80" spans="1:20" s="464" customFormat="1" ht="24" customHeight="1">
      <c r="A80" s="464" t="s">
        <v>187</v>
      </c>
      <c r="C80" s="551" t="s">
        <v>188</v>
      </c>
      <c r="F80" s="552"/>
      <c r="I80" s="464" t="s">
        <v>190</v>
      </c>
      <c r="L80" s="552"/>
      <c r="N80" s="1144"/>
      <c r="O80" s="1145"/>
      <c r="P80" s="1146"/>
      <c r="Q80" s="553"/>
      <c r="R80" s="553"/>
      <c r="S80" s="553"/>
      <c r="T80" s="553"/>
    </row>
    <row r="82" spans="1:16" ht="9" customHeight="1"/>
    <row r="83" spans="1:16" ht="15" customHeight="1">
      <c r="A83" s="419" t="s">
        <v>218</v>
      </c>
      <c r="B83" s="419"/>
      <c r="C83" s="465"/>
      <c r="D83" s="554"/>
      <c r="E83" s="419"/>
      <c r="F83" s="419"/>
      <c r="G83" s="419"/>
      <c r="H83" s="419"/>
      <c r="I83" s="419"/>
      <c r="J83" s="419"/>
      <c r="K83" s="419"/>
      <c r="L83" s="419"/>
      <c r="M83" s="419"/>
    </row>
    <row r="84" spans="1:16" s="465" customFormat="1">
      <c r="A84" s="1383" t="s">
        <v>1621</v>
      </c>
      <c r="B84" s="1383"/>
      <c r="C84" s="1383" t="s">
        <v>1622</v>
      </c>
      <c r="D84" s="1383"/>
      <c r="E84" s="1383"/>
      <c r="F84" s="1383"/>
      <c r="G84" s="1383"/>
      <c r="H84" s="554"/>
      <c r="I84" s="1383" t="s">
        <v>1585</v>
      </c>
      <c r="J84" s="1383"/>
      <c r="K84" s="1383"/>
      <c r="L84" s="1383"/>
      <c r="M84" s="1383"/>
      <c r="N84" s="1147"/>
      <c r="O84" s="1147"/>
      <c r="P84" s="1147"/>
    </row>
    <row r="85" spans="1:16">
      <c r="A85" s="1384" t="s">
        <v>219</v>
      </c>
      <c r="B85" s="1384"/>
      <c r="C85" s="1384" t="s">
        <v>193</v>
      </c>
      <c r="D85" s="1384"/>
      <c r="E85" s="1384"/>
      <c r="F85" s="1384"/>
      <c r="G85" s="1384"/>
      <c r="I85" s="1384" t="s">
        <v>192</v>
      </c>
      <c r="J85" s="1384"/>
      <c r="K85" s="1384"/>
      <c r="L85" s="1384"/>
      <c r="M85" s="1384"/>
    </row>
  </sheetData>
  <sheetProtection algorithmName="SHA-512" hashValue="lstsLI6s7Jv7y7vcLlfWkVbLlsLCoMiTuV3Wqh9oXUZKScNLjyflJW3N5UykX6xN9J5xykL1Y2BSJBLW8lI4pA==" saltValue="qIyik5WX27KL4V1xtD3dCA==" spinCount="100000" sheet="1" objects="1" scenarios="1"/>
  <mergeCells count="26">
    <mergeCell ref="A3:M3"/>
    <mergeCell ref="A4:M4"/>
    <mergeCell ref="F8:M8"/>
    <mergeCell ref="D11:E11"/>
    <mergeCell ref="F11:K11"/>
    <mergeCell ref="L11:M11"/>
    <mergeCell ref="L12:M12"/>
    <mergeCell ref="D13:E13"/>
    <mergeCell ref="F13:G13"/>
    <mergeCell ref="H13:I13"/>
    <mergeCell ref="L13:M13"/>
    <mergeCell ref="A12:B12"/>
    <mergeCell ref="D12:E12"/>
    <mergeCell ref="F12:G12"/>
    <mergeCell ref="H12:I12"/>
    <mergeCell ref="J12:K13"/>
    <mergeCell ref="A41:B41"/>
    <mergeCell ref="A66:B66"/>
    <mergeCell ref="A75:B75"/>
    <mergeCell ref="A78:B78"/>
    <mergeCell ref="C84:G84"/>
    <mergeCell ref="I84:M84"/>
    <mergeCell ref="A85:B85"/>
    <mergeCell ref="C85:G85"/>
    <mergeCell ref="I85:M85"/>
    <mergeCell ref="A84:B84"/>
  </mergeCells>
  <pageMargins left="0.2" right="0.2" top="1" bottom="1" header="0.5" footer="0.5"/>
  <pageSetup paperSize="14" orientation="portrait" verticalDpi="300" r:id="rId1"/>
  <headerFooter alignWithMargins="0">
    <oddHeader>&amp;RPage &amp;P of 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81"/>
  <sheetViews>
    <sheetView topLeftCell="A73" zoomScale="145" zoomScaleNormal="145" workbookViewId="0">
      <selection activeCell="N22" sqref="N22"/>
    </sheetView>
  </sheetViews>
  <sheetFormatPr defaultColWidth="9.140625" defaultRowHeight="13.5"/>
  <cols>
    <col min="1" max="1" width="9.42578125" style="417" customWidth="1"/>
    <col min="2" max="2" width="25.140625" style="417" customWidth="1"/>
    <col min="3" max="3" width="8.5703125" style="417" customWidth="1"/>
    <col min="4" max="4" width="1.85546875" style="418" customWidth="1"/>
    <col min="5" max="5" width="10" style="417" customWidth="1"/>
    <col min="6" max="6" width="1.85546875" style="418" customWidth="1"/>
    <col min="7" max="7" width="10" style="417" customWidth="1"/>
    <col min="8" max="8" width="1.85546875" style="418" customWidth="1"/>
    <col min="9" max="9" width="9.85546875" style="417" customWidth="1"/>
    <col min="10" max="10" width="1.85546875" style="418" customWidth="1"/>
    <col min="11" max="11" width="10" style="417" customWidth="1"/>
    <col min="12" max="12" width="1.85546875" style="418" customWidth="1"/>
    <col min="13" max="13" width="11.5703125" style="417" customWidth="1"/>
    <col min="14" max="14" width="16.140625" style="417" customWidth="1"/>
    <col min="15" max="16384" width="9.140625" style="417"/>
  </cols>
  <sheetData>
    <row r="1" spans="1:18">
      <c r="A1" s="417" t="s">
        <v>186</v>
      </c>
    </row>
    <row r="2" spans="1:18" ht="9.75" customHeight="1"/>
    <row r="3" spans="1:18">
      <c r="A3" s="1383" t="s">
        <v>195</v>
      </c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1383"/>
      <c r="N3" s="571"/>
      <c r="O3" s="571"/>
      <c r="P3" s="571"/>
      <c r="Q3" s="571"/>
      <c r="R3" s="571"/>
    </row>
    <row r="4" spans="1:18" ht="12" customHeight="1">
      <c r="A4" s="1383" t="s">
        <v>401</v>
      </c>
      <c r="B4" s="1383"/>
      <c r="C4" s="1383"/>
      <c r="D4" s="1383"/>
      <c r="E4" s="1383"/>
      <c r="F4" s="1383"/>
      <c r="G4" s="1383"/>
      <c r="H4" s="1383"/>
      <c r="I4" s="1383"/>
      <c r="J4" s="1383"/>
      <c r="K4" s="1383"/>
      <c r="L4" s="1383"/>
      <c r="M4" s="1383"/>
      <c r="N4" s="571"/>
      <c r="O4" s="571"/>
      <c r="P4" s="571"/>
      <c r="Q4" s="571"/>
      <c r="R4" s="571"/>
    </row>
    <row r="5" spans="1:18" ht="9" customHeight="1"/>
    <row r="6" spans="1:18">
      <c r="A6" s="465" t="s">
        <v>85</v>
      </c>
      <c r="B6" s="519" t="s">
        <v>473</v>
      </c>
      <c r="C6" s="519"/>
      <c r="D6" s="559"/>
      <c r="E6" s="519"/>
    </row>
    <row r="7" spans="1:18" hidden="1">
      <c r="A7" s="417" t="s">
        <v>2</v>
      </c>
      <c r="B7" s="519" t="s">
        <v>474</v>
      </c>
      <c r="C7" s="519"/>
      <c r="F7" s="417"/>
      <c r="H7" s="417"/>
      <c r="J7" s="417"/>
      <c r="L7" s="417"/>
    </row>
    <row r="8" spans="1:18" hidden="1">
      <c r="A8" s="417" t="s">
        <v>3</v>
      </c>
      <c r="B8" s="520" t="s">
        <v>475</v>
      </c>
      <c r="C8" s="520"/>
      <c r="F8" s="1384"/>
      <c r="G8" s="1384"/>
      <c r="H8" s="1384"/>
      <c r="I8" s="1384"/>
      <c r="J8" s="1384"/>
      <c r="K8" s="1384"/>
      <c r="L8" s="1384"/>
      <c r="M8" s="1384"/>
    </row>
    <row r="9" spans="1:18" hidden="1">
      <c r="A9" s="417" t="s">
        <v>4</v>
      </c>
      <c r="B9" s="520" t="s">
        <v>476</v>
      </c>
      <c r="C9" s="520"/>
    </row>
    <row r="10" spans="1:18" ht="9" customHeight="1">
      <c r="B10" s="521"/>
      <c r="C10" s="521"/>
    </row>
    <row r="11" spans="1:18">
      <c r="A11" s="522"/>
      <c r="B11" s="523"/>
      <c r="C11" s="524" t="s">
        <v>5</v>
      </c>
      <c r="D11" s="1401" t="s">
        <v>7</v>
      </c>
      <c r="E11" s="1401"/>
      <c r="F11" s="1402" t="s">
        <v>1304</v>
      </c>
      <c r="G11" s="1403"/>
      <c r="H11" s="1403"/>
      <c r="I11" s="1403"/>
      <c r="J11" s="1403"/>
      <c r="K11" s="1404"/>
      <c r="L11" s="1401" t="s">
        <v>8</v>
      </c>
      <c r="M11" s="1401"/>
    </row>
    <row r="12" spans="1:18">
      <c r="A12" s="1387" t="s">
        <v>34</v>
      </c>
      <c r="B12" s="1388"/>
      <c r="C12" s="525" t="s">
        <v>6</v>
      </c>
      <c r="D12" s="1389">
        <v>2021</v>
      </c>
      <c r="E12" s="1389"/>
      <c r="F12" s="1390" t="s">
        <v>184</v>
      </c>
      <c r="G12" s="1391"/>
      <c r="H12" s="1390" t="s">
        <v>185</v>
      </c>
      <c r="I12" s="1391"/>
      <c r="J12" s="1394" t="s">
        <v>64</v>
      </c>
      <c r="K12" s="1395"/>
      <c r="L12" s="1389">
        <v>2023</v>
      </c>
      <c r="M12" s="1389"/>
    </row>
    <row r="13" spans="1:18">
      <c r="A13" s="526"/>
      <c r="B13" s="527"/>
      <c r="C13" s="528"/>
      <c r="D13" s="1398" t="s">
        <v>10</v>
      </c>
      <c r="E13" s="1398"/>
      <c r="F13" s="1399" t="s">
        <v>10</v>
      </c>
      <c r="G13" s="1400"/>
      <c r="H13" s="1399" t="s">
        <v>9</v>
      </c>
      <c r="I13" s="1400"/>
      <c r="J13" s="1396"/>
      <c r="K13" s="1397"/>
      <c r="L13" s="1398" t="s">
        <v>27</v>
      </c>
      <c r="M13" s="1398"/>
    </row>
    <row r="14" spans="1:18">
      <c r="A14" s="529" t="s">
        <v>281</v>
      </c>
      <c r="B14" s="530"/>
      <c r="C14" s="531"/>
      <c r="D14" s="532"/>
      <c r="E14" s="556"/>
      <c r="F14" s="532"/>
      <c r="G14" s="556"/>
      <c r="H14" s="532"/>
      <c r="I14" s="556"/>
      <c r="J14" s="532"/>
      <c r="K14" s="556"/>
      <c r="L14" s="532"/>
      <c r="M14" s="556"/>
    </row>
    <row r="15" spans="1:18">
      <c r="A15" s="533" t="s">
        <v>262</v>
      </c>
      <c r="B15" s="530"/>
      <c r="C15" s="531"/>
      <c r="D15" s="532"/>
      <c r="E15" s="556"/>
      <c r="F15" s="532"/>
      <c r="G15" s="556"/>
      <c r="H15" s="532"/>
      <c r="I15" s="556"/>
      <c r="J15" s="532"/>
      <c r="K15" s="556"/>
      <c r="L15" s="532"/>
      <c r="M15" s="556"/>
    </row>
    <row r="16" spans="1:18">
      <c r="A16" s="533" t="s">
        <v>263</v>
      </c>
      <c r="B16" s="530"/>
      <c r="C16" s="534" t="s">
        <v>114</v>
      </c>
      <c r="D16" s="532" t="s">
        <v>15</v>
      </c>
      <c r="E16" s="556">
        <v>539004</v>
      </c>
      <c r="F16" s="532" t="s">
        <v>15</v>
      </c>
      <c r="G16" s="556">
        <v>282424</v>
      </c>
      <c r="H16" s="532" t="s">
        <v>15</v>
      </c>
      <c r="I16" s="556">
        <f>K16-G16</f>
        <v>284972</v>
      </c>
      <c r="J16" s="532" t="s">
        <v>15</v>
      </c>
      <c r="K16" s="556">
        <v>567396</v>
      </c>
      <c r="L16" s="532" t="s">
        <v>15</v>
      </c>
      <c r="M16" s="556">
        <v>751524</v>
      </c>
    </row>
    <row r="17" spans="1:14">
      <c r="A17" s="533" t="s">
        <v>264</v>
      </c>
      <c r="B17" s="530"/>
      <c r="C17" s="534" t="s">
        <v>115</v>
      </c>
      <c r="D17" s="532"/>
      <c r="E17" s="556">
        <v>660811.37</v>
      </c>
      <c r="F17" s="532"/>
      <c r="G17" s="556">
        <v>437549.04</v>
      </c>
      <c r="H17" s="532"/>
      <c r="I17" s="556">
        <f>K17-G17</f>
        <v>527634.96</v>
      </c>
      <c r="J17" s="532"/>
      <c r="K17" s="556">
        <v>965184</v>
      </c>
      <c r="L17" s="532"/>
      <c r="M17" s="556">
        <v>965160</v>
      </c>
    </row>
    <row r="18" spans="1:14">
      <c r="A18" s="533" t="s">
        <v>265</v>
      </c>
      <c r="B18" s="530"/>
      <c r="C18" s="534"/>
      <c r="D18" s="532"/>
      <c r="E18" s="556"/>
      <c r="F18" s="532"/>
      <c r="G18" s="556"/>
      <c r="H18" s="532"/>
      <c r="I18" s="556"/>
      <c r="J18" s="532"/>
      <c r="K18" s="556"/>
      <c r="L18" s="532"/>
      <c r="M18" s="556"/>
      <c r="N18" s="536"/>
    </row>
    <row r="19" spans="1:14">
      <c r="A19" s="533" t="s">
        <v>266</v>
      </c>
      <c r="B19" s="530"/>
      <c r="C19" s="534" t="s">
        <v>116</v>
      </c>
      <c r="D19" s="532"/>
      <c r="E19" s="556">
        <v>141272.85999999999</v>
      </c>
      <c r="F19" s="532"/>
      <c r="G19" s="556">
        <v>89999.11</v>
      </c>
      <c r="H19" s="532"/>
      <c r="I19" s="556">
        <f t="shared" ref="I19:I27" si="0">K19-G19</f>
        <v>102000.89</v>
      </c>
      <c r="J19" s="532"/>
      <c r="K19" s="556">
        <v>192000</v>
      </c>
      <c r="L19" s="532"/>
      <c r="M19" s="556">
        <v>216000</v>
      </c>
    </row>
    <row r="20" spans="1:14">
      <c r="A20" s="533" t="s">
        <v>267</v>
      </c>
      <c r="B20" s="530"/>
      <c r="C20" s="534" t="s">
        <v>117</v>
      </c>
      <c r="D20" s="532"/>
      <c r="E20" s="556">
        <v>0</v>
      </c>
      <c r="F20" s="532"/>
      <c r="G20" s="556">
        <v>0</v>
      </c>
      <c r="H20" s="532"/>
      <c r="I20" s="556">
        <f t="shared" si="0"/>
        <v>0</v>
      </c>
      <c r="J20" s="532"/>
      <c r="K20" s="556">
        <v>0</v>
      </c>
      <c r="L20" s="532"/>
      <c r="M20" s="556"/>
    </row>
    <row r="21" spans="1:14">
      <c r="A21" s="533" t="s">
        <v>268</v>
      </c>
      <c r="B21" s="537"/>
      <c r="C21" s="534" t="s">
        <v>118</v>
      </c>
      <c r="D21" s="532"/>
      <c r="E21" s="556">
        <v>0</v>
      </c>
      <c r="F21" s="532"/>
      <c r="G21" s="556">
        <v>0</v>
      </c>
      <c r="H21" s="532"/>
      <c r="I21" s="556">
        <f t="shared" si="0"/>
        <v>0</v>
      </c>
      <c r="J21" s="532"/>
      <c r="K21" s="556">
        <v>0</v>
      </c>
      <c r="L21" s="532"/>
      <c r="M21" s="556"/>
    </row>
    <row r="22" spans="1:14">
      <c r="A22" s="533" t="s">
        <v>269</v>
      </c>
      <c r="B22" s="537"/>
      <c r="C22" s="534" t="s">
        <v>119</v>
      </c>
      <c r="D22" s="532"/>
      <c r="E22" s="556">
        <v>30000</v>
      </c>
      <c r="F22" s="532"/>
      <c r="G22" s="556">
        <v>42000</v>
      </c>
      <c r="H22" s="532"/>
      <c r="I22" s="556">
        <f t="shared" si="0"/>
        <v>6000</v>
      </c>
      <c r="J22" s="532"/>
      <c r="K22" s="556">
        <v>48000</v>
      </c>
      <c r="L22" s="532"/>
      <c r="M22" s="556">
        <v>54000</v>
      </c>
    </row>
    <row r="23" spans="1:14">
      <c r="A23" s="533" t="s">
        <v>288</v>
      </c>
      <c r="B23" s="537"/>
      <c r="C23" s="534" t="s">
        <v>157</v>
      </c>
      <c r="D23" s="532"/>
      <c r="E23" s="556">
        <v>16200</v>
      </c>
      <c r="F23" s="532"/>
      <c r="G23" s="556">
        <v>7800</v>
      </c>
      <c r="H23" s="532"/>
      <c r="I23" s="556">
        <f t="shared" si="0"/>
        <v>28200</v>
      </c>
      <c r="J23" s="532"/>
      <c r="K23" s="556">
        <v>36000</v>
      </c>
      <c r="L23" s="532"/>
      <c r="M23" s="556">
        <v>54000</v>
      </c>
    </row>
    <row r="24" spans="1:14">
      <c r="A24" s="533" t="s">
        <v>289</v>
      </c>
      <c r="B24" s="537"/>
      <c r="C24" s="534" t="s">
        <v>158</v>
      </c>
      <c r="D24" s="532"/>
      <c r="E24" s="556">
        <v>1800</v>
      </c>
      <c r="F24" s="532"/>
      <c r="G24" s="556">
        <v>900</v>
      </c>
      <c r="H24" s="532"/>
      <c r="I24" s="556">
        <f t="shared" si="0"/>
        <v>2700</v>
      </c>
      <c r="J24" s="532"/>
      <c r="K24" s="556">
        <v>3600</v>
      </c>
      <c r="L24" s="532"/>
      <c r="M24" s="556">
        <v>5400</v>
      </c>
    </row>
    <row r="25" spans="1:14">
      <c r="A25" s="533" t="s">
        <v>290</v>
      </c>
      <c r="B25" s="537"/>
      <c r="C25" s="534" t="s">
        <v>159</v>
      </c>
      <c r="D25" s="532"/>
      <c r="E25" s="556">
        <v>49725</v>
      </c>
      <c r="F25" s="532"/>
      <c r="G25" s="556">
        <v>24862.5</v>
      </c>
      <c r="H25" s="532"/>
      <c r="I25" s="556">
        <f t="shared" si="0"/>
        <v>72466.5</v>
      </c>
      <c r="J25" s="532"/>
      <c r="K25" s="556">
        <v>97329</v>
      </c>
      <c r="L25" s="532"/>
      <c r="M25" s="556">
        <v>143361</v>
      </c>
    </row>
    <row r="26" spans="1:14">
      <c r="A26" s="533" t="s">
        <v>270</v>
      </c>
      <c r="B26" s="537"/>
      <c r="C26" s="534" t="s">
        <v>120</v>
      </c>
      <c r="D26" s="532"/>
      <c r="E26" s="556">
        <v>29000</v>
      </c>
      <c r="F26" s="532"/>
      <c r="G26" s="556">
        <v>0</v>
      </c>
      <c r="H26" s="532"/>
      <c r="I26" s="556">
        <f t="shared" si="0"/>
        <v>40000</v>
      </c>
      <c r="J26" s="532"/>
      <c r="K26" s="556">
        <v>40000</v>
      </c>
      <c r="L26" s="532"/>
      <c r="M26" s="556">
        <v>45000</v>
      </c>
    </row>
    <row r="27" spans="1:14">
      <c r="A27" s="533" t="s">
        <v>271</v>
      </c>
      <c r="B27" s="530"/>
      <c r="C27" s="534" t="s">
        <v>121</v>
      </c>
      <c r="D27" s="532"/>
      <c r="E27" s="556">
        <v>81667.78</v>
      </c>
      <c r="F27" s="532"/>
      <c r="G27" s="556">
        <v>0</v>
      </c>
      <c r="H27" s="532"/>
      <c r="I27" s="556">
        <f t="shared" si="0"/>
        <v>127715</v>
      </c>
      <c r="J27" s="532"/>
      <c r="K27" s="556">
        <v>127715</v>
      </c>
      <c r="L27" s="532"/>
      <c r="M27" s="556">
        <v>143057</v>
      </c>
    </row>
    <row r="28" spans="1:14">
      <c r="A28" s="533" t="s">
        <v>278</v>
      </c>
      <c r="B28" s="420"/>
      <c r="C28" s="534" t="s">
        <v>258</v>
      </c>
      <c r="D28" s="532"/>
      <c r="E28" s="556"/>
      <c r="F28" s="532"/>
      <c r="G28" s="556"/>
      <c r="H28" s="532"/>
      <c r="I28" s="556"/>
      <c r="J28" s="532"/>
      <c r="K28" s="556"/>
      <c r="L28" s="532"/>
      <c r="M28" s="556"/>
    </row>
    <row r="29" spans="1:14">
      <c r="A29" s="533" t="s">
        <v>279</v>
      </c>
      <c r="B29" s="420"/>
      <c r="C29" s="534"/>
      <c r="D29" s="532"/>
      <c r="E29" s="556">
        <v>81667.78</v>
      </c>
      <c r="F29" s="532"/>
      <c r="G29" s="556">
        <v>112522.56</v>
      </c>
      <c r="H29" s="532"/>
      <c r="I29" s="556">
        <f t="shared" ref="I29:I35" si="1">K29-G29</f>
        <v>15192.440000000002</v>
      </c>
      <c r="J29" s="532"/>
      <c r="K29" s="556">
        <v>127715</v>
      </c>
      <c r="L29" s="532"/>
      <c r="M29" s="556">
        <v>143057</v>
      </c>
    </row>
    <row r="30" spans="1:14">
      <c r="A30" s="533" t="s">
        <v>280</v>
      </c>
      <c r="B30" s="420"/>
      <c r="C30" s="534"/>
      <c r="D30" s="532"/>
      <c r="E30" s="556">
        <v>0</v>
      </c>
      <c r="F30" s="532"/>
      <c r="G30" s="556">
        <v>21000</v>
      </c>
      <c r="H30" s="532"/>
      <c r="I30" s="556">
        <f t="shared" si="1"/>
        <v>3000</v>
      </c>
      <c r="J30" s="532"/>
      <c r="K30" s="556">
        <v>24000</v>
      </c>
      <c r="L30" s="532"/>
      <c r="M30" s="556">
        <v>0</v>
      </c>
    </row>
    <row r="31" spans="1:14">
      <c r="A31" s="533" t="s">
        <v>272</v>
      </c>
      <c r="B31" s="530"/>
      <c r="C31" s="534" t="s">
        <v>122</v>
      </c>
      <c r="D31" s="532"/>
      <c r="E31" s="556">
        <v>134370.23999999999</v>
      </c>
      <c r="F31" s="532"/>
      <c r="G31" s="556">
        <v>87272.81</v>
      </c>
      <c r="H31" s="532"/>
      <c r="I31" s="556">
        <f t="shared" si="1"/>
        <v>96637.19</v>
      </c>
      <c r="J31" s="532"/>
      <c r="K31" s="556">
        <v>183910</v>
      </c>
      <c r="L31" s="532"/>
      <c r="M31" s="556">
        <v>206003</v>
      </c>
    </row>
    <row r="32" spans="1:14">
      <c r="A32" s="533" t="s">
        <v>273</v>
      </c>
      <c r="B32" s="530"/>
      <c r="C32" s="534" t="s">
        <v>123</v>
      </c>
      <c r="D32" s="532"/>
      <c r="E32" s="556">
        <v>22192.32</v>
      </c>
      <c r="F32" s="532"/>
      <c r="G32" s="556">
        <v>6503.74</v>
      </c>
      <c r="H32" s="532"/>
      <c r="I32" s="556">
        <f t="shared" si="1"/>
        <v>24180.260000000002</v>
      </c>
      <c r="J32" s="532"/>
      <c r="K32" s="556">
        <v>30684</v>
      </c>
      <c r="L32" s="532"/>
      <c r="M32" s="556">
        <v>10800</v>
      </c>
    </row>
    <row r="33" spans="1:14">
      <c r="A33" s="533" t="s">
        <v>274</v>
      </c>
      <c r="B33" s="530"/>
      <c r="C33" s="534" t="s">
        <v>124</v>
      </c>
      <c r="D33" s="532"/>
      <c r="E33" s="556">
        <v>16644.259999999998</v>
      </c>
      <c r="F33" s="532"/>
      <c r="G33" s="556">
        <v>11397.86</v>
      </c>
      <c r="H33" s="532"/>
      <c r="I33" s="556">
        <f t="shared" si="1"/>
        <v>19286.14</v>
      </c>
      <c r="J33" s="532"/>
      <c r="K33" s="556">
        <v>30684</v>
      </c>
      <c r="L33" s="532"/>
      <c r="M33" s="556">
        <v>38664</v>
      </c>
    </row>
    <row r="34" spans="1:14">
      <c r="A34" s="533" t="s">
        <v>275</v>
      </c>
      <c r="B34" s="530"/>
      <c r="C34" s="534" t="s">
        <v>125</v>
      </c>
      <c r="D34" s="532"/>
      <c r="E34" s="556">
        <v>7200</v>
      </c>
      <c r="F34" s="532"/>
      <c r="G34" s="556">
        <v>4600</v>
      </c>
      <c r="H34" s="532"/>
      <c r="I34" s="556">
        <f t="shared" si="1"/>
        <v>5000</v>
      </c>
      <c r="J34" s="532"/>
      <c r="K34" s="556">
        <v>9600</v>
      </c>
      <c r="L34" s="532"/>
      <c r="M34" s="556">
        <v>10800</v>
      </c>
    </row>
    <row r="35" spans="1:14">
      <c r="A35" s="533" t="s">
        <v>291</v>
      </c>
      <c r="B35" s="420"/>
      <c r="C35" s="534" t="s">
        <v>160</v>
      </c>
      <c r="D35" s="532"/>
      <c r="E35" s="556">
        <v>0</v>
      </c>
      <c r="F35" s="532"/>
      <c r="G35" s="556">
        <v>0</v>
      </c>
      <c r="H35" s="532"/>
      <c r="I35" s="556">
        <f t="shared" si="1"/>
        <v>220000</v>
      </c>
      <c r="J35" s="532"/>
      <c r="K35" s="556">
        <v>220000</v>
      </c>
      <c r="L35" s="532"/>
      <c r="M35" s="556">
        <v>104925</v>
      </c>
    </row>
    <row r="36" spans="1:14">
      <c r="A36" s="533" t="s">
        <v>276</v>
      </c>
      <c r="B36" s="420"/>
      <c r="C36" s="534" t="s">
        <v>161</v>
      </c>
      <c r="D36" s="532"/>
      <c r="E36" s="556"/>
      <c r="F36" s="532"/>
      <c r="G36" s="556"/>
      <c r="H36" s="532"/>
      <c r="I36" s="556"/>
      <c r="J36" s="532"/>
      <c r="K36" s="556"/>
      <c r="L36" s="532"/>
      <c r="M36" s="556"/>
    </row>
    <row r="37" spans="1:14">
      <c r="A37" s="533" t="s">
        <v>764</v>
      </c>
      <c r="B37" s="420"/>
      <c r="C37" s="534"/>
      <c r="D37" s="532"/>
      <c r="E37" s="556">
        <v>0</v>
      </c>
      <c r="F37" s="532"/>
      <c r="G37" s="556">
        <v>0</v>
      </c>
      <c r="H37" s="532"/>
      <c r="I37" s="556">
        <f>K37-G37</f>
        <v>67705</v>
      </c>
      <c r="J37" s="532"/>
      <c r="K37" s="556">
        <v>67705</v>
      </c>
      <c r="L37" s="532"/>
      <c r="M37" s="556">
        <v>75838</v>
      </c>
    </row>
    <row r="38" spans="1:14">
      <c r="A38" s="533" t="s">
        <v>292</v>
      </c>
      <c r="B38" s="420"/>
      <c r="C38" s="534"/>
      <c r="D38" s="532"/>
      <c r="E38" s="556">
        <v>0</v>
      </c>
      <c r="F38" s="532"/>
      <c r="G38" s="556">
        <v>0</v>
      </c>
      <c r="H38" s="532"/>
      <c r="I38" s="556">
        <f>K38-G38</f>
        <v>0</v>
      </c>
      <c r="J38" s="532"/>
      <c r="K38" s="556">
        <v>0</v>
      </c>
      <c r="L38" s="532"/>
      <c r="M38" s="556">
        <v>100649</v>
      </c>
    </row>
    <row r="39" spans="1:14">
      <c r="A39" s="533" t="s">
        <v>259</v>
      </c>
      <c r="B39" s="420"/>
      <c r="C39" s="534"/>
      <c r="D39" s="532"/>
      <c r="E39" s="556">
        <v>0</v>
      </c>
      <c r="F39" s="532"/>
      <c r="G39" s="556"/>
      <c r="H39" s="532"/>
      <c r="I39" s="556">
        <f>K39-G39</f>
        <v>5000</v>
      </c>
      <c r="J39" s="532"/>
      <c r="K39" s="556">
        <v>5000</v>
      </c>
      <c r="L39" s="532"/>
      <c r="M39" s="556"/>
    </row>
    <row r="40" spans="1:14">
      <c r="A40" s="533" t="s">
        <v>260</v>
      </c>
      <c r="B40" s="420"/>
      <c r="C40" s="534"/>
      <c r="D40" s="532"/>
      <c r="E40" s="556">
        <v>35000</v>
      </c>
      <c r="F40" s="535"/>
      <c r="G40" s="556">
        <v>0</v>
      </c>
      <c r="H40" s="535"/>
      <c r="I40" s="556">
        <f>K40-G40</f>
        <v>40000</v>
      </c>
      <c r="J40" s="535"/>
      <c r="K40" s="560">
        <v>40000</v>
      </c>
      <c r="L40" s="535"/>
      <c r="M40" s="560">
        <v>45000</v>
      </c>
    </row>
    <row r="41" spans="1:14" ht="15" customHeight="1">
      <c r="A41" s="1392" t="s">
        <v>14</v>
      </c>
      <c r="B41" s="1393"/>
      <c r="C41" s="534"/>
      <c r="D41" s="538" t="s">
        <v>15</v>
      </c>
      <c r="E41" s="561">
        <f>SUM(E16:E40)</f>
        <v>1846555.61</v>
      </c>
      <c r="F41" s="538" t="s">
        <v>15</v>
      </c>
      <c r="G41" s="561">
        <f>SUM(G16:G40)</f>
        <v>1128831.6200000001</v>
      </c>
      <c r="H41" s="538" t="s">
        <v>15</v>
      </c>
      <c r="I41" s="561">
        <f>SUM(I16:I40)</f>
        <v>1687690.38</v>
      </c>
      <c r="J41" s="538" t="s">
        <v>15</v>
      </c>
      <c r="K41" s="561">
        <f>SUM(K16:K40)</f>
        <v>2816522</v>
      </c>
      <c r="L41" s="538" t="s">
        <v>15</v>
      </c>
      <c r="M41" s="561">
        <f>SUM(M16:M40)</f>
        <v>3113238</v>
      </c>
      <c r="N41" s="536"/>
    </row>
    <row r="42" spans="1:14" ht="4.5" customHeight="1">
      <c r="A42" s="572"/>
      <c r="B42" s="573"/>
      <c r="C42" s="534"/>
      <c r="D42" s="539"/>
      <c r="E42" s="562"/>
      <c r="F42" s="539"/>
      <c r="G42" s="562"/>
      <c r="H42" s="539"/>
      <c r="I42" s="562"/>
      <c r="J42" s="539"/>
      <c r="K42" s="562"/>
      <c r="L42" s="539"/>
      <c r="M42" s="562"/>
      <c r="N42" s="536"/>
    </row>
    <row r="43" spans="1:14" ht="12" customHeight="1">
      <c r="A43" s="529" t="s">
        <v>282</v>
      </c>
      <c r="B43" s="530"/>
      <c r="C43" s="534"/>
      <c r="D43" s="532"/>
      <c r="E43" s="556"/>
      <c r="F43" s="532"/>
      <c r="G43" s="556"/>
      <c r="H43" s="532"/>
      <c r="I43" s="556"/>
      <c r="J43" s="532"/>
      <c r="K43" s="556"/>
      <c r="L43" s="532"/>
      <c r="M43" s="556"/>
    </row>
    <row r="44" spans="1:14">
      <c r="A44" s="533" t="s">
        <v>41</v>
      </c>
      <c r="B44" s="530"/>
      <c r="C44" s="534" t="s">
        <v>126</v>
      </c>
      <c r="D44" s="532" t="s">
        <v>15</v>
      </c>
      <c r="E44" s="556">
        <v>6700</v>
      </c>
      <c r="F44" s="532" t="s">
        <v>15</v>
      </c>
      <c r="G44" s="556">
        <v>10500</v>
      </c>
      <c r="H44" s="422" t="s">
        <v>15</v>
      </c>
      <c r="I44" s="556">
        <f t="shared" ref="I44:I63" si="2">K44-G44</f>
        <v>19500</v>
      </c>
      <c r="J44" s="532" t="s">
        <v>15</v>
      </c>
      <c r="K44" s="556">
        <v>30000</v>
      </c>
      <c r="L44" s="532" t="s">
        <v>15</v>
      </c>
      <c r="M44" s="556">
        <v>30000</v>
      </c>
    </row>
    <row r="45" spans="1:14">
      <c r="A45" s="533" t="s">
        <v>42</v>
      </c>
      <c r="B45" s="530"/>
      <c r="C45" s="534" t="s">
        <v>127</v>
      </c>
      <c r="D45" s="532"/>
      <c r="E45" s="563">
        <v>16000</v>
      </c>
      <c r="F45" s="532"/>
      <c r="G45" s="556">
        <v>6000</v>
      </c>
      <c r="H45" s="422"/>
      <c r="I45" s="556">
        <f t="shared" si="2"/>
        <v>24000</v>
      </c>
      <c r="J45" s="532"/>
      <c r="K45" s="556">
        <v>30000</v>
      </c>
      <c r="L45" s="532"/>
      <c r="M45" s="556">
        <v>30000</v>
      </c>
    </row>
    <row r="46" spans="1:14">
      <c r="A46" s="533" t="s">
        <v>28</v>
      </c>
      <c r="B46" s="530"/>
      <c r="C46" s="534" t="s">
        <v>128</v>
      </c>
      <c r="D46" s="532"/>
      <c r="E46" s="563">
        <v>7231.2</v>
      </c>
      <c r="F46" s="532"/>
      <c r="G46" s="556">
        <v>0</v>
      </c>
      <c r="H46" s="422"/>
      <c r="I46" s="556">
        <f t="shared" si="2"/>
        <v>30000</v>
      </c>
      <c r="J46" s="532"/>
      <c r="K46" s="556">
        <v>30000</v>
      </c>
      <c r="L46" s="532"/>
      <c r="M46" s="556">
        <v>30000</v>
      </c>
    </row>
    <row r="47" spans="1:14">
      <c r="A47" s="533" t="s">
        <v>47</v>
      </c>
      <c r="B47" s="530"/>
      <c r="C47" s="534" t="s">
        <v>165</v>
      </c>
      <c r="D47" s="532"/>
      <c r="E47" s="563">
        <v>12155</v>
      </c>
      <c r="F47" s="532"/>
      <c r="G47" s="556">
        <v>0</v>
      </c>
      <c r="H47" s="422"/>
      <c r="I47" s="556">
        <f t="shared" si="2"/>
        <v>100000</v>
      </c>
      <c r="J47" s="532"/>
      <c r="K47" s="556">
        <v>100000</v>
      </c>
      <c r="L47" s="532"/>
      <c r="M47" s="556">
        <v>100000</v>
      </c>
    </row>
    <row r="48" spans="1:14">
      <c r="A48" s="533" t="s">
        <v>130</v>
      </c>
      <c r="B48" s="530"/>
      <c r="C48" s="534" t="s">
        <v>129</v>
      </c>
      <c r="D48" s="532"/>
      <c r="E48" s="563">
        <v>63000</v>
      </c>
      <c r="F48" s="532"/>
      <c r="G48" s="556">
        <v>15515.67</v>
      </c>
      <c r="H48" s="422"/>
      <c r="I48" s="556">
        <f t="shared" si="2"/>
        <v>104484.33</v>
      </c>
      <c r="J48" s="532"/>
      <c r="K48" s="556">
        <v>120000</v>
      </c>
      <c r="L48" s="532"/>
      <c r="M48" s="556">
        <v>200000</v>
      </c>
    </row>
    <row r="49" spans="1:13">
      <c r="A49" s="533" t="s">
        <v>497</v>
      </c>
      <c r="B49" s="530"/>
      <c r="C49" s="534" t="s">
        <v>174</v>
      </c>
      <c r="D49" s="532"/>
      <c r="E49" s="563">
        <v>26483</v>
      </c>
      <c r="F49" s="532"/>
      <c r="G49" s="556">
        <v>20000</v>
      </c>
      <c r="H49" s="422"/>
      <c r="I49" s="556">
        <f t="shared" si="2"/>
        <v>30000</v>
      </c>
      <c r="J49" s="532"/>
      <c r="K49" s="556">
        <v>50000</v>
      </c>
      <c r="L49" s="532"/>
      <c r="M49" s="556">
        <v>60000</v>
      </c>
    </row>
    <row r="50" spans="1:13">
      <c r="A50" s="533" t="s">
        <v>29</v>
      </c>
      <c r="B50" s="530"/>
      <c r="C50" s="534" t="s">
        <v>166</v>
      </c>
      <c r="D50" s="532"/>
      <c r="E50" s="563">
        <v>499999.8</v>
      </c>
      <c r="F50" s="532"/>
      <c r="G50" s="556">
        <v>125000</v>
      </c>
      <c r="H50" s="422"/>
      <c r="I50" s="556">
        <f t="shared" si="2"/>
        <v>375000</v>
      </c>
      <c r="J50" s="532"/>
      <c r="K50" s="556">
        <v>500000</v>
      </c>
      <c r="L50" s="532"/>
      <c r="M50" s="556">
        <v>600000</v>
      </c>
    </row>
    <row r="51" spans="1:13">
      <c r="A51" s="533" t="s">
        <v>46</v>
      </c>
      <c r="B51" s="530"/>
      <c r="C51" s="534" t="s">
        <v>167</v>
      </c>
      <c r="D51" s="532"/>
      <c r="E51" s="563">
        <v>175719.23</v>
      </c>
      <c r="F51" s="532"/>
      <c r="G51" s="556">
        <v>86231.679999999993</v>
      </c>
      <c r="H51" s="422"/>
      <c r="I51" s="556">
        <f t="shared" si="2"/>
        <v>113768.32000000001</v>
      </c>
      <c r="J51" s="532"/>
      <c r="K51" s="556">
        <v>200000</v>
      </c>
      <c r="L51" s="532"/>
      <c r="M51" s="556">
        <v>200000</v>
      </c>
    </row>
    <row r="52" spans="1:13">
      <c r="A52" s="533" t="s">
        <v>163</v>
      </c>
      <c r="B52" s="530"/>
      <c r="C52" s="540" t="s">
        <v>133</v>
      </c>
      <c r="D52" s="532"/>
      <c r="E52" s="563">
        <v>0</v>
      </c>
      <c r="F52" s="532"/>
      <c r="G52" s="556"/>
      <c r="H52" s="422"/>
      <c r="I52" s="556">
        <f t="shared" si="2"/>
        <v>0</v>
      </c>
      <c r="J52" s="532"/>
      <c r="K52" s="556">
        <v>0</v>
      </c>
      <c r="L52" s="532"/>
      <c r="M52" s="556">
        <v>0</v>
      </c>
    </row>
    <row r="53" spans="1:13">
      <c r="A53" s="533" t="s">
        <v>135</v>
      </c>
      <c r="B53" s="530"/>
      <c r="C53" s="534" t="s">
        <v>134</v>
      </c>
      <c r="D53" s="532"/>
      <c r="E53" s="563">
        <v>22906.69</v>
      </c>
      <c r="F53" s="532"/>
      <c r="G53" s="556">
        <v>11512.69</v>
      </c>
      <c r="H53" s="422"/>
      <c r="I53" s="556">
        <f t="shared" si="2"/>
        <v>24487.309999999998</v>
      </c>
      <c r="J53" s="532"/>
      <c r="K53" s="556">
        <v>36000</v>
      </c>
      <c r="L53" s="532"/>
      <c r="M53" s="556">
        <v>36000</v>
      </c>
    </row>
    <row r="54" spans="1:13">
      <c r="A54" s="533" t="s">
        <v>88</v>
      </c>
      <c r="B54" s="530"/>
      <c r="C54" s="534" t="s">
        <v>182</v>
      </c>
      <c r="D54" s="532"/>
      <c r="E54" s="563">
        <v>0</v>
      </c>
      <c r="F54" s="532"/>
      <c r="G54" s="556">
        <v>0</v>
      </c>
      <c r="H54" s="422"/>
      <c r="I54" s="556">
        <f t="shared" si="2"/>
        <v>0</v>
      </c>
      <c r="J54" s="532"/>
      <c r="K54" s="556">
        <v>0</v>
      </c>
      <c r="L54" s="532"/>
      <c r="M54" s="556">
        <v>0</v>
      </c>
    </row>
    <row r="55" spans="1:13">
      <c r="A55" s="533" t="s">
        <v>0</v>
      </c>
      <c r="B55" s="530"/>
      <c r="C55" s="534" t="s">
        <v>164</v>
      </c>
      <c r="D55" s="532"/>
      <c r="E55" s="563">
        <v>0</v>
      </c>
      <c r="F55" s="532"/>
      <c r="G55" s="556">
        <v>0</v>
      </c>
      <c r="H55" s="422"/>
      <c r="I55" s="556">
        <f t="shared" si="2"/>
        <v>0</v>
      </c>
      <c r="J55" s="532"/>
      <c r="K55" s="556">
        <v>0</v>
      </c>
      <c r="L55" s="532"/>
      <c r="M55" s="556">
        <v>0</v>
      </c>
    </row>
    <row r="56" spans="1:13">
      <c r="A56" s="533" t="s">
        <v>177</v>
      </c>
      <c r="B56" s="530"/>
      <c r="C56" s="534" t="s">
        <v>176</v>
      </c>
      <c r="D56" s="532"/>
      <c r="E56" s="563">
        <v>28696</v>
      </c>
      <c r="F56" s="532"/>
      <c r="G56" s="556">
        <v>6983</v>
      </c>
      <c r="H56" s="422"/>
      <c r="I56" s="556">
        <f t="shared" si="2"/>
        <v>43017</v>
      </c>
      <c r="J56" s="532"/>
      <c r="K56" s="556">
        <v>50000</v>
      </c>
      <c r="L56" s="532"/>
      <c r="M56" s="556">
        <v>50000</v>
      </c>
    </row>
    <row r="57" spans="1:13">
      <c r="A57" s="533" t="s">
        <v>142</v>
      </c>
      <c r="B57" s="530"/>
      <c r="C57" s="534" t="s">
        <v>141</v>
      </c>
      <c r="D57" s="532"/>
      <c r="E57" s="563">
        <v>12600</v>
      </c>
      <c r="F57" s="532"/>
      <c r="G57" s="556">
        <v>1305</v>
      </c>
      <c r="H57" s="422"/>
      <c r="I57" s="556">
        <f t="shared" si="2"/>
        <v>36695</v>
      </c>
      <c r="J57" s="532"/>
      <c r="K57" s="556">
        <v>38000</v>
      </c>
      <c r="L57" s="532"/>
      <c r="M57" s="556">
        <v>50000</v>
      </c>
    </row>
    <row r="58" spans="1:13">
      <c r="A58" s="533" t="s">
        <v>145</v>
      </c>
      <c r="B58" s="530"/>
      <c r="C58" s="534" t="s">
        <v>144</v>
      </c>
      <c r="D58" s="532"/>
      <c r="E58" s="563">
        <v>21943</v>
      </c>
      <c r="F58" s="532"/>
      <c r="G58" s="556">
        <v>520</v>
      </c>
      <c r="H58" s="422"/>
      <c r="I58" s="556">
        <f t="shared" si="2"/>
        <v>49480</v>
      </c>
      <c r="J58" s="532"/>
      <c r="K58" s="556">
        <v>50000</v>
      </c>
      <c r="L58" s="532"/>
      <c r="M58" s="556">
        <v>50000</v>
      </c>
    </row>
    <row r="59" spans="1:13">
      <c r="A59" s="533" t="s">
        <v>44</v>
      </c>
      <c r="B59" s="530"/>
      <c r="C59" s="534" t="s">
        <v>168</v>
      </c>
      <c r="D59" s="532"/>
      <c r="E59" s="563">
        <v>0</v>
      </c>
      <c r="F59" s="532"/>
      <c r="G59" s="556">
        <v>0</v>
      </c>
      <c r="H59" s="422"/>
      <c r="I59" s="556">
        <f t="shared" si="2"/>
        <v>0</v>
      </c>
      <c r="J59" s="532"/>
      <c r="K59" s="556">
        <v>0</v>
      </c>
      <c r="L59" s="532"/>
      <c r="M59" s="556">
        <v>0</v>
      </c>
    </row>
    <row r="60" spans="1:13">
      <c r="A60" s="533" t="s">
        <v>33</v>
      </c>
      <c r="B60" s="573"/>
      <c r="C60" s="534" t="s">
        <v>148</v>
      </c>
      <c r="D60" s="532"/>
      <c r="E60" s="563"/>
      <c r="F60" s="532"/>
      <c r="G60" s="556"/>
      <c r="H60" s="422"/>
      <c r="I60" s="556">
        <f t="shared" si="2"/>
        <v>0</v>
      </c>
      <c r="J60" s="532"/>
      <c r="K60" s="556">
        <v>0</v>
      </c>
      <c r="L60" s="532"/>
      <c r="M60" s="556"/>
    </row>
    <row r="61" spans="1:13" ht="10.5" customHeight="1">
      <c r="A61" s="533"/>
      <c r="B61" s="530" t="s">
        <v>342</v>
      </c>
      <c r="C61" s="534"/>
      <c r="D61" s="532"/>
      <c r="E61" s="157">
        <v>2353840.67</v>
      </c>
      <c r="F61" s="532"/>
      <c r="G61" s="7">
        <v>1160419.94</v>
      </c>
      <c r="H61" s="422"/>
      <c r="I61" s="556">
        <f t="shared" si="2"/>
        <v>2059558.06</v>
      </c>
      <c r="J61" s="532"/>
      <c r="K61" s="7">
        <v>3219978</v>
      </c>
      <c r="L61" s="532"/>
      <c r="M61" s="7">
        <v>3218262</v>
      </c>
    </row>
    <row r="62" spans="1:13" ht="11.25" customHeight="1">
      <c r="A62" s="533"/>
      <c r="B62" s="530" t="s">
        <v>516</v>
      </c>
      <c r="C62" s="534"/>
      <c r="D62" s="532"/>
      <c r="E62" s="157">
        <v>36000</v>
      </c>
      <c r="F62" s="532"/>
      <c r="G62" s="7">
        <v>0</v>
      </c>
      <c r="H62" s="422"/>
      <c r="I62" s="556">
        <f t="shared" si="2"/>
        <v>55500</v>
      </c>
      <c r="J62" s="532"/>
      <c r="K62" s="7">
        <v>55500</v>
      </c>
      <c r="L62" s="532"/>
      <c r="M62" s="7">
        <v>58500</v>
      </c>
    </row>
    <row r="63" spans="1:13">
      <c r="A63" s="533"/>
      <c r="B63" s="530" t="s">
        <v>343</v>
      </c>
      <c r="C63" s="534"/>
      <c r="D63" s="532"/>
      <c r="E63" s="157">
        <v>150500</v>
      </c>
      <c r="F63" s="532"/>
      <c r="G63" s="105">
        <v>81500</v>
      </c>
      <c r="H63" s="422"/>
      <c r="I63" s="556">
        <f t="shared" si="2"/>
        <v>92500</v>
      </c>
      <c r="J63" s="532"/>
      <c r="K63" s="105">
        <v>174000</v>
      </c>
      <c r="L63" s="535"/>
      <c r="M63" s="105">
        <v>174000</v>
      </c>
    </row>
    <row r="64" spans="1:13" ht="12.75" customHeight="1">
      <c r="A64" s="1385" t="s">
        <v>13</v>
      </c>
      <c r="B64" s="1386"/>
      <c r="C64" s="543"/>
      <c r="D64" s="538" t="s">
        <v>15</v>
      </c>
      <c r="E64" s="561">
        <f>SUM(E43:E63)</f>
        <v>3433774.59</v>
      </c>
      <c r="F64" s="538" t="s">
        <v>15</v>
      </c>
      <c r="G64" s="561">
        <f>SUM(G44:G63)</f>
        <v>1525487.98</v>
      </c>
      <c r="H64" s="538" t="s">
        <v>15</v>
      </c>
      <c r="I64" s="561">
        <f>SUM(I44:I63)</f>
        <v>3157990.0200000005</v>
      </c>
      <c r="J64" s="538" t="s">
        <v>15</v>
      </c>
      <c r="K64" s="561">
        <f>SUM(K44:K63)</f>
        <v>4683478</v>
      </c>
      <c r="L64" s="538" t="s">
        <v>15</v>
      </c>
      <c r="M64" s="561">
        <f>SUM(M44:M63)</f>
        <v>4886762</v>
      </c>
    </row>
    <row r="65" spans="1:20" ht="12.75" customHeight="1">
      <c r="A65" s="863"/>
      <c r="B65" s="863"/>
      <c r="C65" s="864"/>
      <c r="D65" s="548"/>
      <c r="E65" s="865"/>
      <c r="F65" s="548"/>
      <c r="G65" s="865"/>
      <c r="H65" s="548"/>
      <c r="I65" s="865"/>
      <c r="J65" s="548"/>
      <c r="K65" s="865"/>
      <c r="L65" s="548"/>
      <c r="M65" s="865"/>
    </row>
    <row r="66" spans="1:20">
      <c r="A66" s="820" t="s">
        <v>283</v>
      </c>
      <c r="B66" s="821"/>
      <c r="C66" s="822"/>
      <c r="D66" s="539"/>
      <c r="E66" s="562"/>
      <c r="F66" s="539"/>
      <c r="G66" s="562"/>
      <c r="H66" s="539"/>
      <c r="I66" s="562"/>
      <c r="J66" s="539"/>
      <c r="K66" s="562"/>
      <c r="L66" s="539"/>
      <c r="M66" s="562"/>
    </row>
    <row r="67" spans="1:20">
      <c r="A67" s="546" t="s">
        <v>51</v>
      </c>
      <c r="B67" s="859"/>
      <c r="C67" s="534" t="s">
        <v>149</v>
      </c>
      <c r="D67" s="532" t="s">
        <v>15</v>
      </c>
      <c r="E67" s="556"/>
      <c r="F67" s="532" t="s">
        <v>15</v>
      </c>
      <c r="G67" s="556"/>
      <c r="H67" s="532" t="s">
        <v>15</v>
      </c>
      <c r="I67" s="556"/>
      <c r="J67" s="532" t="s">
        <v>15</v>
      </c>
      <c r="K67" s="556"/>
      <c r="L67" s="532" t="s">
        <v>15</v>
      </c>
      <c r="M67" s="556"/>
    </row>
    <row r="68" spans="1:20">
      <c r="A68" s="546" t="s">
        <v>152</v>
      </c>
      <c r="B68" s="859"/>
      <c r="C68" s="534" t="s">
        <v>150</v>
      </c>
      <c r="D68" s="545"/>
      <c r="E68" s="556"/>
      <c r="F68" s="545"/>
      <c r="G68" s="556"/>
      <c r="H68" s="545"/>
      <c r="I68" s="556"/>
      <c r="J68" s="545"/>
      <c r="K68" s="556"/>
      <c r="L68" s="545"/>
      <c r="M68" s="556"/>
    </row>
    <row r="69" spans="1:20">
      <c r="A69" s="546" t="s">
        <v>153</v>
      </c>
      <c r="B69" s="859"/>
      <c r="C69" s="534" t="s">
        <v>151</v>
      </c>
      <c r="D69" s="545"/>
      <c r="E69" s="556"/>
      <c r="F69" s="545"/>
      <c r="G69" s="556"/>
      <c r="H69" s="545"/>
      <c r="I69" s="556"/>
      <c r="J69" s="545"/>
      <c r="K69" s="556"/>
      <c r="L69" s="545"/>
      <c r="M69" s="556"/>
    </row>
    <row r="70" spans="1:20">
      <c r="A70" s="546" t="s">
        <v>1134</v>
      </c>
      <c r="B70" s="859"/>
      <c r="C70" s="534" t="s">
        <v>155</v>
      </c>
      <c r="D70" s="545"/>
      <c r="E70" s="556"/>
      <c r="F70" s="545"/>
      <c r="G70" s="556"/>
      <c r="H70" s="545"/>
      <c r="I70" s="556"/>
      <c r="J70" s="545"/>
      <c r="K70" s="556"/>
      <c r="L70" s="545"/>
      <c r="M70" s="556"/>
    </row>
    <row r="71" spans="1:20">
      <c r="A71" s="546" t="s">
        <v>865</v>
      </c>
      <c r="B71" s="573"/>
      <c r="C71" s="534" t="s">
        <v>742</v>
      </c>
      <c r="D71" s="545"/>
      <c r="E71" s="556"/>
      <c r="F71" s="545"/>
      <c r="G71" s="556"/>
      <c r="H71" s="545"/>
      <c r="I71" s="556"/>
      <c r="J71" s="545"/>
      <c r="K71" s="560"/>
      <c r="L71" s="550"/>
      <c r="M71" s="560"/>
    </row>
    <row r="72" spans="1:20" ht="13.5" customHeight="1">
      <c r="A72" s="1392" t="s">
        <v>16</v>
      </c>
      <c r="B72" s="1393"/>
      <c r="C72" s="534"/>
      <c r="D72" s="538" t="s">
        <v>15</v>
      </c>
      <c r="E72" s="561">
        <f>SUM(E67:E71)</f>
        <v>0</v>
      </c>
      <c r="F72" s="538" t="s">
        <v>15</v>
      </c>
      <c r="G72" s="561">
        <f>SUM(G67:G71)</f>
        <v>0</v>
      </c>
      <c r="H72" s="538" t="s">
        <v>15</v>
      </c>
      <c r="I72" s="561">
        <f>SUM(I67:I71)</f>
        <v>0</v>
      </c>
      <c r="J72" s="538" t="s">
        <v>15</v>
      </c>
      <c r="K72" s="561">
        <f>SUM(K67:K71)</f>
        <v>0</v>
      </c>
      <c r="L72" s="538" t="s">
        <v>15</v>
      </c>
      <c r="M72" s="561">
        <f>SUM(M67:M71)</f>
        <v>0</v>
      </c>
    </row>
    <row r="73" spans="1:20" ht="11.25" customHeight="1">
      <c r="A73" s="572"/>
      <c r="B73" s="573"/>
      <c r="C73" s="534"/>
      <c r="D73" s="545"/>
      <c r="E73" s="564"/>
      <c r="F73" s="545"/>
      <c r="G73" s="564"/>
      <c r="H73" s="545"/>
      <c r="I73" s="564"/>
      <c r="J73" s="545"/>
      <c r="K73" s="564"/>
      <c r="L73" s="545"/>
      <c r="M73" s="564"/>
    </row>
    <row r="74" spans="1:20">
      <c r="A74" s="1385" t="s">
        <v>277</v>
      </c>
      <c r="B74" s="1386"/>
      <c r="C74" s="543"/>
      <c r="D74" s="550" t="s">
        <v>15</v>
      </c>
      <c r="E74" s="565">
        <f>E72+E64+E41</f>
        <v>5280330.2</v>
      </c>
      <c r="F74" s="550" t="s">
        <v>15</v>
      </c>
      <c r="G74" s="565">
        <f>G72+G64+G41</f>
        <v>2654319.6</v>
      </c>
      <c r="H74" s="550" t="s">
        <v>15</v>
      </c>
      <c r="I74" s="565">
        <f>I72+I64+I41</f>
        <v>4845680.4000000004</v>
      </c>
      <c r="J74" s="550" t="s">
        <v>15</v>
      </c>
      <c r="K74" s="565">
        <f>K72+K64+K41</f>
        <v>7500000</v>
      </c>
      <c r="L74" s="550" t="s">
        <v>15</v>
      </c>
      <c r="M74" s="565">
        <f>M72+M64+M41</f>
        <v>8000000</v>
      </c>
    </row>
    <row r="75" spans="1:20" ht="15.75" customHeight="1">
      <c r="A75" s="488" t="s">
        <v>1623</v>
      </c>
      <c r="B75" s="557"/>
      <c r="C75" s="421"/>
      <c r="D75" s="558"/>
      <c r="E75" s="566"/>
      <c r="F75" s="558"/>
      <c r="G75" s="566"/>
      <c r="H75" s="558"/>
      <c r="I75" s="566"/>
      <c r="J75" s="558"/>
      <c r="K75" s="566"/>
      <c r="L75" s="558"/>
      <c r="M75" s="566"/>
    </row>
    <row r="76" spans="1:20" s="464" customFormat="1" ht="22.5" customHeight="1">
      <c r="A76" s="464" t="s">
        <v>187</v>
      </c>
      <c r="C76" s="551" t="s">
        <v>188</v>
      </c>
      <c r="F76" s="552"/>
      <c r="I76" s="464" t="s">
        <v>190</v>
      </c>
      <c r="L76" s="552"/>
      <c r="N76" s="552"/>
      <c r="P76" s="553"/>
      <c r="Q76" s="553"/>
      <c r="R76" s="553"/>
      <c r="S76" s="553"/>
      <c r="T76" s="553"/>
    </row>
    <row r="79" spans="1:20" ht="15" customHeight="1">
      <c r="A79" s="419" t="s">
        <v>218</v>
      </c>
      <c r="B79" s="419"/>
      <c r="C79" s="465"/>
      <c r="D79" s="554"/>
      <c r="E79" s="419"/>
      <c r="F79" s="419"/>
      <c r="G79" s="419"/>
      <c r="H79" s="419"/>
      <c r="I79" s="419"/>
      <c r="J79" s="419"/>
      <c r="K79" s="419"/>
      <c r="L79" s="419"/>
      <c r="M79" s="419"/>
    </row>
    <row r="80" spans="1:20" s="465" customFormat="1">
      <c r="A80" s="1383" t="s">
        <v>1621</v>
      </c>
      <c r="B80" s="1383"/>
      <c r="C80" s="1383" t="s">
        <v>1622</v>
      </c>
      <c r="D80" s="1383"/>
      <c r="E80" s="1383"/>
      <c r="F80" s="1383"/>
      <c r="G80" s="1383"/>
      <c r="H80" s="554"/>
      <c r="I80" s="1383" t="s">
        <v>1585</v>
      </c>
      <c r="J80" s="1383"/>
      <c r="K80" s="1383"/>
      <c r="L80" s="1383"/>
      <c r="M80" s="1383"/>
    </row>
    <row r="81" spans="1:13">
      <c r="A81" s="1384" t="s">
        <v>219</v>
      </c>
      <c r="B81" s="1384"/>
      <c r="C81" s="1384" t="s">
        <v>193</v>
      </c>
      <c r="D81" s="1384"/>
      <c r="E81" s="1384"/>
      <c r="F81" s="1384"/>
      <c r="G81" s="1384"/>
      <c r="I81" s="1384" t="s">
        <v>192</v>
      </c>
      <c r="J81" s="1384"/>
      <c r="K81" s="1384"/>
      <c r="L81" s="1384"/>
      <c r="M81" s="1384"/>
    </row>
  </sheetData>
  <sheetProtection algorithmName="SHA-512" hashValue="dPz5PcdAVlmMi5IbCs248CaSuvkl8PnE5M4YDIj059l50IfR7P8BwBQPkuOmJZOd//MeAQhKNzUehf8hu7FWPA==" saltValue="yweamfT6otoQjAEeo3e35g==" spinCount="100000" sheet="1" objects="1" scenarios="1"/>
  <mergeCells count="26">
    <mergeCell ref="A3:M3"/>
    <mergeCell ref="A4:M4"/>
    <mergeCell ref="F8:M8"/>
    <mergeCell ref="D11:E11"/>
    <mergeCell ref="F11:K11"/>
    <mergeCell ref="L11:M11"/>
    <mergeCell ref="L12:M12"/>
    <mergeCell ref="D13:E13"/>
    <mergeCell ref="F13:G13"/>
    <mergeCell ref="H13:I13"/>
    <mergeCell ref="L13:M13"/>
    <mergeCell ref="A12:B12"/>
    <mergeCell ref="D12:E12"/>
    <mergeCell ref="F12:G12"/>
    <mergeCell ref="H12:I12"/>
    <mergeCell ref="J12:K13"/>
    <mergeCell ref="A41:B41"/>
    <mergeCell ref="A64:B64"/>
    <mergeCell ref="A72:B72"/>
    <mergeCell ref="A74:B74"/>
    <mergeCell ref="C80:G80"/>
    <mergeCell ref="I80:M80"/>
    <mergeCell ref="A81:B81"/>
    <mergeCell ref="C81:G81"/>
    <mergeCell ref="I81:M81"/>
    <mergeCell ref="A80:B80"/>
  </mergeCells>
  <pageMargins left="0.2" right="0.2" top="1" bottom="1" header="0.5" footer="0.5"/>
  <pageSetup paperSize="14" orientation="portrait" verticalDpi="300" r:id="rId1"/>
  <headerFooter alignWithMargins="0">
    <oddHeader>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T196"/>
  <sheetViews>
    <sheetView topLeftCell="A55" zoomScale="145" zoomScaleNormal="145" workbookViewId="0">
      <selection activeCell="A77" sqref="A77"/>
    </sheetView>
  </sheetViews>
  <sheetFormatPr defaultColWidth="9.140625" defaultRowHeight="13.5"/>
  <cols>
    <col min="1" max="1" width="6.7109375" style="367" customWidth="1"/>
    <col min="2" max="2" width="27.5703125" style="367" customWidth="1"/>
    <col min="3" max="3" width="8.42578125" style="367" customWidth="1"/>
    <col min="4" max="4" width="2" style="368" customWidth="1"/>
    <col min="5" max="5" width="10.7109375" style="367" customWidth="1"/>
    <col min="6" max="6" width="1.5703125" style="368" customWidth="1"/>
    <col min="7" max="7" width="10.28515625" style="367" customWidth="1"/>
    <col min="8" max="8" width="1.28515625" style="368" customWidth="1"/>
    <col min="9" max="9" width="10.28515625" style="367" customWidth="1"/>
    <col min="10" max="10" width="1.5703125" style="368" customWidth="1"/>
    <col min="11" max="11" width="10.28515625" style="367" customWidth="1"/>
    <col min="12" max="12" width="1.7109375" style="368" customWidth="1"/>
    <col min="13" max="13" width="10.140625" style="367" customWidth="1"/>
    <col min="14" max="14" width="2.28515625" style="368" customWidth="1"/>
    <col min="15" max="15" width="9.7109375" style="367" customWidth="1"/>
    <col min="16" max="16" width="10.28515625" style="988" bestFit="1" customWidth="1"/>
    <col min="17" max="17" width="9.140625" style="988"/>
    <col min="18" max="16384" width="9.140625" style="367"/>
  </cols>
  <sheetData>
    <row r="1" spans="1:18">
      <c r="A1" s="367" t="s">
        <v>186</v>
      </c>
    </row>
    <row r="2" spans="1:18" ht="6" customHeight="1"/>
    <row r="3" spans="1:18" ht="12.75" customHeight="1">
      <c r="A3" s="1313" t="s">
        <v>195</v>
      </c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366"/>
      <c r="O3" s="366"/>
      <c r="P3" s="989"/>
      <c r="Q3" s="989"/>
      <c r="R3" s="366"/>
    </row>
    <row r="4" spans="1:18">
      <c r="A4" s="1313" t="s">
        <v>401</v>
      </c>
      <c r="B4" s="1313"/>
      <c r="C4" s="1313"/>
      <c r="D4" s="1313"/>
      <c r="E4" s="1313"/>
      <c r="F4" s="1313"/>
      <c r="G4" s="1313"/>
      <c r="H4" s="1313"/>
      <c r="I4" s="1313"/>
      <c r="J4" s="1313"/>
      <c r="K4" s="1313"/>
      <c r="L4" s="1313"/>
      <c r="M4" s="1313"/>
      <c r="N4" s="366"/>
      <c r="O4" s="366"/>
      <c r="P4" s="989"/>
      <c r="Q4" s="989"/>
      <c r="R4" s="366"/>
    </row>
    <row r="5" spans="1:18" ht="9" customHeight="1"/>
    <row r="6" spans="1:18">
      <c r="A6" s="369" t="s">
        <v>85</v>
      </c>
      <c r="B6" s="367" t="s">
        <v>859</v>
      </c>
    </row>
    <row r="7" spans="1:18" hidden="1">
      <c r="A7" s="367" t="s">
        <v>2</v>
      </c>
      <c r="B7" s="367" t="s">
        <v>402</v>
      </c>
      <c r="F7" s="1314"/>
      <c r="G7" s="1314"/>
      <c r="H7" s="1314"/>
      <c r="I7" s="1314"/>
      <c r="J7" s="1314"/>
      <c r="K7" s="1314"/>
      <c r="L7" s="1314"/>
      <c r="M7" s="1314"/>
      <c r="N7" s="367"/>
    </row>
    <row r="8" spans="1:18" hidden="1">
      <c r="A8" s="367" t="s">
        <v>3</v>
      </c>
      <c r="B8" s="367" t="s">
        <v>403</v>
      </c>
      <c r="F8" s="1311"/>
      <c r="G8" s="1311"/>
      <c r="H8" s="1311"/>
      <c r="I8" s="1311"/>
      <c r="J8" s="1311"/>
      <c r="K8" s="1311"/>
      <c r="L8" s="1311"/>
      <c r="M8" s="1311"/>
      <c r="N8" s="367"/>
    </row>
    <row r="9" spans="1:18" hidden="1">
      <c r="A9" s="367" t="s">
        <v>4</v>
      </c>
      <c r="B9" s="367" t="s">
        <v>404</v>
      </c>
    </row>
    <row r="10" spans="1:18" ht="6.75" customHeight="1"/>
    <row r="11" spans="1:18">
      <c r="A11" s="15"/>
      <c r="B11" s="16"/>
      <c r="C11" s="383" t="s">
        <v>5</v>
      </c>
      <c r="D11" s="1300" t="s">
        <v>7</v>
      </c>
      <c r="E11" s="1300"/>
      <c r="F11" s="1315" t="s">
        <v>1304</v>
      </c>
      <c r="G11" s="1315"/>
      <c r="H11" s="1315"/>
      <c r="I11" s="1315"/>
      <c r="J11" s="1315"/>
      <c r="K11" s="1315"/>
      <c r="L11" s="1300" t="s">
        <v>8</v>
      </c>
      <c r="M11" s="1300"/>
      <c r="N11" s="1292" t="s">
        <v>494</v>
      </c>
      <c r="O11" s="1293"/>
    </row>
    <row r="12" spans="1:18">
      <c r="A12" s="1308" t="s">
        <v>34</v>
      </c>
      <c r="B12" s="1309"/>
      <c r="C12" s="18" t="s">
        <v>6</v>
      </c>
      <c r="D12" s="1304">
        <v>2021</v>
      </c>
      <c r="E12" s="1304"/>
      <c r="F12" s="1300" t="s">
        <v>184</v>
      </c>
      <c r="G12" s="1300"/>
      <c r="H12" s="1300" t="s">
        <v>185</v>
      </c>
      <c r="I12" s="1300"/>
      <c r="J12" s="1312" t="s">
        <v>64</v>
      </c>
      <c r="K12" s="1312"/>
      <c r="L12" s="1304">
        <v>2023</v>
      </c>
      <c r="M12" s="1304"/>
      <c r="N12" s="1294"/>
      <c r="O12" s="1295"/>
    </row>
    <row r="13" spans="1:18">
      <c r="A13" s="19"/>
      <c r="B13" s="20"/>
      <c r="C13" s="21"/>
      <c r="D13" s="1305" t="s">
        <v>10</v>
      </c>
      <c r="E13" s="1305"/>
      <c r="F13" s="1305" t="s">
        <v>10</v>
      </c>
      <c r="G13" s="1305"/>
      <c r="H13" s="1305" t="s">
        <v>9</v>
      </c>
      <c r="I13" s="1305"/>
      <c r="J13" s="1312"/>
      <c r="K13" s="1312"/>
      <c r="L13" s="1305" t="s">
        <v>27</v>
      </c>
      <c r="M13" s="1305"/>
      <c r="N13" s="1296"/>
      <c r="O13" s="1297"/>
    </row>
    <row r="14" spans="1:18" ht="13.5" customHeight="1">
      <c r="A14" s="387" t="s">
        <v>281</v>
      </c>
      <c r="B14" s="388"/>
      <c r="C14" s="388"/>
      <c r="D14" s="392"/>
      <c r="E14" s="391"/>
      <c r="F14" s="392"/>
      <c r="G14" s="391"/>
      <c r="H14" s="392"/>
      <c r="I14" s="391"/>
      <c r="J14" s="392"/>
      <c r="K14" s="391"/>
      <c r="L14" s="392"/>
      <c r="M14" s="391"/>
      <c r="N14" s="392"/>
      <c r="O14" s="391"/>
    </row>
    <row r="15" spans="1:18" ht="13.5" customHeight="1">
      <c r="A15" s="389" t="s">
        <v>262</v>
      </c>
      <c r="B15" s="389"/>
      <c r="C15" s="118"/>
      <c r="D15" s="393"/>
      <c r="E15" s="359"/>
      <c r="F15" s="393"/>
      <c r="G15" s="359"/>
      <c r="H15" s="393"/>
      <c r="I15" s="359"/>
      <c r="J15" s="393"/>
      <c r="K15" s="359"/>
      <c r="L15" s="393"/>
      <c r="M15" s="359"/>
      <c r="N15" s="393"/>
      <c r="O15" s="359"/>
    </row>
    <row r="16" spans="1:18" ht="13.5" customHeight="1">
      <c r="A16" s="389" t="s">
        <v>263</v>
      </c>
      <c r="B16" s="389"/>
      <c r="C16" s="118" t="s">
        <v>114</v>
      </c>
      <c r="D16" s="393" t="s">
        <v>15</v>
      </c>
      <c r="E16" s="359">
        <v>1425085.9</v>
      </c>
      <c r="F16" s="393" t="s">
        <v>15</v>
      </c>
      <c r="G16" s="359">
        <v>732064</v>
      </c>
      <c r="H16" s="393" t="s">
        <v>15</v>
      </c>
      <c r="I16" s="359">
        <f>K16-G16</f>
        <v>735512</v>
      </c>
      <c r="J16" s="393" t="s">
        <v>15</v>
      </c>
      <c r="K16" s="359">
        <v>1467576</v>
      </c>
      <c r="L16" s="393" t="s">
        <v>15</v>
      </c>
      <c r="M16" s="359">
        <v>1672728</v>
      </c>
      <c r="N16" s="394" t="s">
        <v>15</v>
      </c>
      <c r="O16" s="357">
        <v>0</v>
      </c>
    </row>
    <row r="17" spans="1:15" ht="13.5" customHeight="1">
      <c r="A17" s="389" t="s">
        <v>264</v>
      </c>
      <c r="B17" s="389"/>
      <c r="C17" s="118" t="s">
        <v>115</v>
      </c>
      <c r="D17" s="393"/>
      <c r="E17" s="359">
        <v>1156789.77</v>
      </c>
      <c r="F17" s="393"/>
      <c r="G17" s="359">
        <v>604416.25</v>
      </c>
      <c r="H17" s="393"/>
      <c r="I17" s="359">
        <f t="shared" ref="I17:I36" si="0">K17-G17</f>
        <v>672155.75</v>
      </c>
      <c r="J17" s="393"/>
      <c r="K17" s="359">
        <v>1276572</v>
      </c>
      <c r="L17" s="393"/>
      <c r="M17" s="359">
        <v>1276536</v>
      </c>
      <c r="N17" s="746"/>
      <c r="O17" s="747">
        <v>0</v>
      </c>
    </row>
    <row r="18" spans="1:15" ht="13.5" customHeight="1">
      <c r="A18" s="389" t="s">
        <v>265</v>
      </c>
      <c r="B18" s="389"/>
      <c r="C18" s="118"/>
      <c r="D18" s="393"/>
      <c r="E18" s="359"/>
      <c r="F18" s="393"/>
      <c r="G18" s="359"/>
      <c r="H18" s="393"/>
      <c r="I18" s="359">
        <f t="shared" si="0"/>
        <v>0</v>
      </c>
      <c r="J18" s="393"/>
      <c r="K18" s="359"/>
      <c r="L18" s="393"/>
      <c r="M18" s="359"/>
      <c r="N18" s="746"/>
      <c r="O18" s="747"/>
    </row>
    <row r="19" spans="1:15" ht="13.5" customHeight="1">
      <c r="A19" s="389" t="s">
        <v>266</v>
      </c>
      <c r="B19" s="389"/>
      <c r="C19" s="118" t="s">
        <v>116</v>
      </c>
      <c r="D19" s="393"/>
      <c r="E19" s="359">
        <v>207000.91</v>
      </c>
      <c r="F19" s="393"/>
      <c r="G19" s="359">
        <v>103541.77</v>
      </c>
      <c r="H19" s="393"/>
      <c r="I19" s="359">
        <f t="shared" si="0"/>
        <v>112458.23</v>
      </c>
      <c r="J19" s="393"/>
      <c r="K19" s="359">
        <v>216000</v>
      </c>
      <c r="L19" s="393"/>
      <c r="M19" s="359">
        <v>240000</v>
      </c>
      <c r="N19" s="746"/>
      <c r="O19" s="747">
        <v>0</v>
      </c>
    </row>
    <row r="20" spans="1:15" ht="13.5" customHeight="1">
      <c r="A20" s="389" t="s">
        <v>267</v>
      </c>
      <c r="B20" s="389"/>
      <c r="C20" s="118" t="s">
        <v>117</v>
      </c>
      <c r="D20" s="393"/>
      <c r="E20" s="359">
        <v>91800</v>
      </c>
      <c r="F20" s="393"/>
      <c r="G20" s="359">
        <v>45900</v>
      </c>
      <c r="H20" s="393"/>
      <c r="I20" s="359">
        <f t="shared" si="0"/>
        <v>45900</v>
      </c>
      <c r="J20" s="393"/>
      <c r="K20" s="359">
        <v>91800</v>
      </c>
      <c r="L20" s="393"/>
      <c r="M20" s="359">
        <v>91800</v>
      </c>
      <c r="N20" s="746"/>
      <c r="O20" s="747">
        <v>0</v>
      </c>
    </row>
    <row r="21" spans="1:15" ht="13.5" customHeight="1">
      <c r="A21" s="389" t="s">
        <v>268</v>
      </c>
      <c r="B21" s="389"/>
      <c r="C21" s="118" t="s">
        <v>118</v>
      </c>
      <c r="D21" s="393"/>
      <c r="E21" s="359">
        <v>91800</v>
      </c>
      <c r="F21" s="393"/>
      <c r="G21" s="359">
        <v>45900</v>
      </c>
      <c r="H21" s="393"/>
      <c r="I21" s="359">
        <f t="shared" si="0"/>
        <v>45900</v>
      </c>
      <c r="J21" s="393"/>
      <c r="K21" s="359">
        <v>91800</v>
      </c>
      <c r="L21" s="393"/>
      <c r="M21" s="359">
        <v>91800</v>
      </c>
      <c r="N21" s="746"/>
      <c r="O21" s="747">
        <v>0</v>
      </c>
    </row>
    <row r="22" spans="1:15" ht="13.5" customHeight="1">
      <c r="A22" s="389" t="s">
        <v>269</v>
      </c>
      <c r="B22" s="389"/>
      <c r="C22" s="118" t="s">
        <v>119</v>
      </c>
      <c r="D22" s="393"/>
      <c r="E22" s="359">
        <v>54000</v>
      </c>
      <c r="F22" s="393"/>
      <c r="G22" s="359">
        <v>54000</v>
      </c>
      <c r="H22" s="393"/>
      <c r="I22" s="359">
        <f t="shared" si="0"/>
        <v>0</v>
      </c>
      <c r="J22" s="393"/>
      <c r="K22" s="359">
        <v>54000</v>
      </c>
      <c r="L22" s="393"/>
      <c r="M22" s="359">
        <v>60000</v>
      </c>
      <c r="N22" s="746"/>
      <c r="O22" s="747">
        <v>0</v>
      </c>
    </row>
    <row r="23" spans="1:15" ht="13.5" customHeight="1">
      <c r="A23" s="386" t="s">
        <v>270</v>
      </c>
      <c r="B23" s="398"/>
      <c r="C23" s="118" t="s">
        <v>120</v>
      </c>
      <c r="D23" s="393"/>
      <c r="E23" s="359">
        <v>45000</v>
      </c>
      <c r="F23" s="393"/>
      <c r="G23" s="359">
        <v>0</v>
      </c>
      <c r="H23" s="393"/>
      <c r="I23" s="359">
        <f t="shared" si="0"/>
        <v>45000</v>
      </c>
      <c r="J23" s="393"/>
      <c r="K23" s="359">
        <v>45000</v>
      </c>
      <c r="L23" s="393"/>
      <c r="M23" s="359">
        <v>50000</v>
      </c>
      <c r="N23" s="746"/>
      <c r="O23" s="747">
        <v>0</v>
      </c>
    </row>
    <row r="24" spans="1:15" ht="13.5" customHeight="1">
      <c r="A24" s="386" t="s">
        <v>271</v>
      </c>
      <c r="B24" s="398"/>
      <c r="C24" s="118" t="s">
        <v>121</v>
      </c>
      <c r="D24" s="393"/>
      <c r="E24" s="359">
        <v>220856.98</v>
      </c>
      <c r="F24" s="393"/>
      <c r="G24" s="359">
        <v>0</v>
      </c>
      <c r="H24" s="393"/>
      <c r="I24" s="359">
        <f t="shared" si="0"/>
        <v>228679</v>
      </c>
      <c r="J24" s="393"/>
      <c r="K24" s="359">
        <v>228679</v>
      </c>
      <c r="L24" s="393"/>
      <c r="M24" s="359">
        <v>245772</v>
      </c>
      <c r="N24" s="746"/>
      <c r="O24" s="747">
        <v>0</v>
      </c>
    </row>
    <row r="25" spans="1:15" ht="13.5" customHeight="1">
      <c r="A25" s="389" t="s">
        <v>278</v>
      </c>
      <c r="B25" s="389"/>
      <c r="C25" s="118" t="s">
        <v>258</v>
      </c>
      <c r="D25" s="393"/>
      <c r="E25" s="359"/>
      <c r="F25" s="393"/>
      <c r="G25" s="359"/>
      <c r="H25" s="393"/>
      <c r="I25" s="359">
        <f t="shared" si="0"/>
        <v>0</v>
      </c>
      <c r="J25" s="393"/>
      <c r="K25" s="359"/>
      <c r="L25" s="393"/>
      <c r="M25" s="359"/>
      <c r="N25" s="746"/>
      <c r="O25" s="747"/>
    </row>
    <row r="26" spans="1:15" ht="13.5" customHeight="1">
      <c r="A26" s="389" t="s">
        <v>279</v>
      </c>
      <c r="B26" s="389"/>
      <c r="C26" s="118"/>
      <c r="D26" s="393"/>
      <c r="E26" s="359">
        <v>220856.98</v>
      </c>
      <c r="F26" s="393"/>
      <c r="G26" s="359">
        <v>228673.26</v>
      </c>
      <c r="H26" s="393"/>
      <c r="I26" s="359">
        <f t="shared" si="0"/>
        <v>5.7399999999906868</v>
      </c>
      <c r="J26" s="393"/>
      <c r="K26" s="359">
        <v>228679</v>
      </c>
      <c r="L26" s="393"/>
      <c r="M26" s="359">
        <v>245772</v>
      </c>
      <c r="N26" s="746"/>
      <c r="O26" s="747">
        <v>0</v>
      </c>
    </row>
    <row r="27" spans="1:15" ht="13.5" customHeight="1">
      <c r="A27" s="389" t="s">
        <v>280</v>
      </c>
      <c r="B27" s="389"/>
      <c r="C27" s="118"/>
      <c r="D27" s="393"/>
      <c r="E27" s="359">
        <v>0</v>
      </c>
      <c r="F27" s="393"/>
      <c r="G27" s="359">
        <v>27000</v>
      </c>
      <c r="H27" s="393"/>
      <c r="I27" s="359">
        <f t="shared" si="0"/>
        <v>0</v>
      </c>
      <c r="J27" s="393"/>
      <c r="K27" s="359">
        <v>27000</v>
      </c>
      <c r="L27" s="393"/>
      <c r="M27" s="359">
        <v>0</v>
      </c>
      <c r="N27" s="746"/>
      <c r="O27" s="747">
        <v>0</v>
      </c>
    </row>
    <row r="28" spans="1:15" ht="13.5" customHeight="1">
      <c r="A28" s="389" t="s">
        <v>272</v>
      </c>
      <c r="B28" s="389"/>
      <c r="C28" s="118" t="s">
        <v>122</v>
      </c>
      <c r="D28" s="393"/>
      <c r="E28" s="359">
        <v>317470.21999999997</v>
      </c>
      <c r="F28" s="393"/>
      <c r="G28" s="359">
        <v>164439.35999999999</v>
      </c>
      <c r="H28" s="393"/>
      <c r="I28" s="359">
        <f t="shared" si="0"/>
        <v>164858.64000000001</v>
      </c>
      <c r="J28" s="393"/>
      <c r="K28" s="359">
        <v>329298</v>
      </c>
      <c r="L28" s="393"/>
      <c r="M28" s="359">
        <v>353912</v>
      </c>
      <c r="N28" s="746"/>
      <c r="O28" s="747">
        <v>0</v>
      </c>
    </row>
    <row r="29" spans="1:15" ht="13.5" customHeight="1">
      <c r="A29" s="389" t="s">
        <v>273</v>
      </c>
      <c r="B29" s="389"/>
      <c r="C29" s="118" t="s">
        <v>123</v>
      </c>
      <c r="D29" s="393"/>
      <c r="E29" s="359">
        <v>53009.279999999999</v>
      </c>
      <c r="F29" s="393"/>
      <c r="G29" s="359">
        <v>9011.86</v>
      </c>
      <c r="H29" s="393"/>
      <c r="I29" s="359">
        <f t="shared" si="0"/>
        <v>45900.14</v>
      </c>
      <c r="J29" s="393"/>
      <c r="K29" s="359">
        <v>54912</v>
      </c>
      <c r="L29" s="393"/>
      <c r="M29" s="359">
        <v>12000</v>
      </c>
      <c r="N29" s="746"/>
      <c r="O29" s="747">
        <v>0</v>
      </c>
    </row>
    <row r="30" spans="1:15" ht="13.5" customHeight="1">
      <c r="A30" s="389" t="s">
        <v>274</v>
      </c>
      <c r="B30" s="389"/>
      <c r="C30" s="118" t="s">
        <v>124</v>
      </c>
      <c r="D30" s="393"/>
      <c r="E30" s="359">
        <v>34537.56</v>
      </c>
      <c r="F30" s="393"/>
      <c r="G30" s="359">
        <v>19186.16</v>
      </c>
      <c r="H30" s="393"/>
      <c r="I30" s="359">
        <f t="shared" si="0"/>
        <v>33145.839999999997</v>
      </c>
      <c r="J30" s="393"/>
      <c r="K30" s="359">
        <v>52332</v>
      </c>
      <c r="L30" s="393"/>
      <c r="M30" s="359">
        <v>66216</v>
      </c>
      <c r="N30" s="746"/>
      <c r="O30" s="747">
        <v>0</v>
      </c>
    </row>
    <row r="31" spans="1:15" ht="13.5" customHeight="1">
      <c r="A31" s="389" t="s">
        <v>275</v>
      </c>
      <c r="B31" s="389"/>
      <c r="C31" s="118" t="s">
        <v>125</v>
      </c>
      <c r="D31" s="393"/>
      <c r="E31" s="359">
        <v>10800</v>
      </c>
      <c r="F31" s="393"/>
      <c r="G31" s="359">
        <v>5400</v>
      </c>
      <c r="H31" s="393"/>
      <c r="I31" s="359">
        <f t="shared" si="0"/>
        <v>5400</v>
      </c>
      <c r="J31" s="393"/>
      <c r="K31" s="359">
        <v>10800</v>
      </c>
      <c r="L31" s="393"/>
      <c r="M31" s="359">
        <v>12000</v>
      </c>
      <c r="N31" s="746"/>
      <c r="O31" s="747">
        <v>0</v>
      </c>
    </row>
    <row r="32" spans="1:15" ht="13.5" customHeight="1">
      <c r="A32" s="389" t="s">
        <v>276</v>
      </c>
      <c r="B32" s="389"/>
      <c r="C32" s="118" t="s">
        <v>161</v>
      </c>
      <c r="D32" s="393"/>
      <c r="E32" s="359"/>
      <c r="F32" s="393"/>
      <c r="G32" s="359"/>
      <c r="H32" s="393"/>
      <c r="I32" s="359">
        <f t="shared" si="0"/>
        <v>0</v>
      </c>
      <c r="J32" s="393"/>
      <c r="K32" s="359"/>
      <c r="L32" s="393"/>
      <c r="M32" s="359"/>
      <c r="N32" s="746"/>
      <c r="O32" s="747"/>
    </row>
    <row r="33" spans="1:15" ht="13.5" customHeight="1">
      <c r="A33" s="389" t="s">
        <v>292</v>
      </c>
      <c r="B33" s="389"/>
      <c r="C33" s="118"/>
      <c r="D33" s="393"/>
      <c r="E33" s="359"/>
      <c r="F33" s="393"/>
      <c r="G33" s="359">
        <v>0</v>
      </c>
      <c r="H33" s="393"/>
      <c r="I33" s="359">
        <f t="shared" si="0"/>
        <v>0</v>
      </c>
      <c r="J33" s="393"/>
      <c r="K33" s="359">
        <v>0</v>
      </c>
      <c r="L33" s="393"/>
      <c r="M33" s="359">
        <v>132694</v>
      </c>
      <c r="N33" s="746"/>
      <c r="O33" s="747">
        <v>0</v>
      </c>
    </row>
    <row r="34" spans="1:15" ht="13.5" customHeight="1">
      <c r="A34" s="389" t="s">
        <v>285</v>
      </c>
      <c r="B34" s="389"/>
      <c r="C34" s="118"/>
      <c r="D34" s="393"/>
      <c r="E34" s="359">
        <v>0</v>
      </c>
      <c r="F34" s="393"/>
      <c r="G34" s="359">
        <v>0</v>
      </c>
      <c r="H34" s="393"/>
      <c r="I34" s="359">
        <f t="shared" si="0"/>
        <v>0</v>
      </c>
      <c r="J34" s="393"/>
      <c r="K34" s="359">
        <v>0</v>
      </c>
      <c r="L34" s="393"/>
      <c r="M34" s="359">
        <v>0</v>
      </c>
      <c r="N34" s="746"/>
      <c r="O34" s="747">
        <v>0</v>
      </c>
    </row>
    <row r="35" spans="1:15" ht="13.5" customHeight="1">
      <c r="A35" s="389" t="s">
        <v>1155</v>
      </c>
      <c r="B35" s="389"/>
      <c r="C35" s="118"/>
      <c r="D35" s="393"/>
      <c r="E35" s="359">
        <v>0</v>
      </c>
      <c r="F35" s="393"/>
      <c r="G35" s="359">
        <v>0</v>
      </c>
      <c r="H35" s="393"/>
      <c r="I35" s="359">
        <f t="shared" si="0"/>
        <v>121228</v>
      </c>
      <c r="J35" s="393"/>
      <c r="K35" s="359">
        <v>121228</v>
      </c>
      <c r="L35" s="393"/>
      <c r="M35" s="359">
        <v>0</v>
      </c>
      <c r="N35" s="746"/>
      <c r="O35" s="747">
        <v>0</v>
      </c>
    </row>
    <row r="36" spans="1:15" ht="13.5" customHeight="1">
      <c r="A36" s="389" t="s">
        <v>284</v>
      </c>
      <c r="B36" s="389"/>
      <c r="C36" s="118"/>
      <c r="D36" s="394"/>
      <c r="E36" s="359">
        <v>45000</v>
      </c>
      <c r="F36" s="394"/>
      <c r="G36" s="357">
        <v>0</v>
      </c>
      <c r="H36" s="394"/>
      <c r="I36" s="359">
        <f t="shared" si="0"/>
        <v>45000</v>
      </c>
      <c r="J36" s="394"/>
      <c r="K36" s="357">
        <v>45000</v>
      </c>
      <c r="L36" s="394"/>
      <c r="M36" s="357">
        <v>50000</v>
      </c>
      <c r="N36" s="746"/>
      <c r="O36" s="747">
        <v>0</v>
      </c>
    </row>
    <row r="37" spans="1:15" ht="13.5" customHeight="1">
      <c r="A37" s="1316" t="s">
        <v>14</v>
      </c>
      <c r="B37" s="1316"/>
      <c r="C37" s="118"/>
      <c r="D37" s="396" t="s">
        <v>15</v>
      </c>
      <c r="E37" s="395">
        <f>SUM(E16:E36)</f>
        <v>3974007.5999999996</v>
      </c>
      <c r="F37" s="396" t="s">
        <v>15</v>
      </c>
      <c r="G37" s="395">
        <f>SUM(G16:G36)</f>
        <v>2039532.6600000001</v>
      </c>
      <c r="H37" s="396" t="s">
        <v>15</v>
      </c>
      <c r="I37" s="395">
        <f>SUM(I16:I36)</f>
        <v>2301143.34</v>
      </c>
      <c r="J37" s="396" t="s">
        <v>15</v>
      </c>
      <c r="K37" s="395">
        <f>SUM(K16:K36)</f>
        <v>4340676</v>
      </c>
      <c r="L37" s="396" t="s">
        <v>15</v>
      </c>
      <c r="M37" s="395">
        <f>SUM(M16:M36)</f>
        <v>4601230</v>
      </c>
      <c r="N37" s="396" t="s">
        <v>15</v>
      </c>
      <c r="O37" s="395">
        <f>SUM(O16:O36)</f>
        <v>0</v>
      </c>
    </row>
    <row r="38" spans="1:15" ht="5.25" customHeight="1">
      <c r="A38" s="386"/>
      <c r="B38" s="398"/>
      <c r="C38" s="118"/>
      <c r="D38" s="393"/>
      <c r="E38" s="359"/>
      <c r="F38" s="393"/>
      <c r="G38" s="359"/>
      <c r="H38" s="393"/>
      <c r="I38" s="359"/>
      <c r="J38" s="393"/>
      <c r="K38" s="359"/>
      <c r="L38" s="393"/>
      <c r="M38" s="359"/>
      <c r="N38" s="393"/>
      <c r="O38" s="359"/>
    </row>
    <row r="39" spans="1:15" ht="12" customHeight="1">
      <c r="A39" s="397" t="s">
        <v>282</v>
      </c>
      <c r="B39" s="389"/>
      <c r="C39" s="118"/>
      <c r="D39" s="393"/>
      <c r="E39" s="359"/>
      <c r="F39" s="393"/>
      <c r="G39" s="359"/>
      <c r="H39" s="393"/>
      <c r="I39" s="359"/>
      <c r="J39" s="393"/>
      <c r="K39" s="359"/>
      <c r="L39" s="393"/>
      <c r="M39" s="359"/>
      <c r="N39" s="393"/>
      <c r="O39" s="359"/>
    </row>
    <row r="40" spans="1:15" ht="13.5" customHeight="1">
      <c r="A40" s="389" t="s">
        <v>41</v>
      </c>
      <c r="B40" s="389"/>
      <c r="C40" s="118" t="s">
        <v>126</v>
      </c>
      <c r="D40" s="393" t="s">
        <v>15</v>
      </c>
      <c r="E40" s="359">
        <v>123021</v>
      </c>
      <c r="F40" s="393" t="s">
        <v>15</v>
      </c>
      <c r="G40" s="359">
        <v>178694.52</v>
      </c>
      <c r="H40" s="393" t="s">
        <v>15</v>
      </c>
      <c r="I40" s="359">
        <f t="shared" ref="I40:I55" si="1">K40-G40</f>
        <v>217305.48</v>
      </c>
      <c r="J40" s="393" t="s">
        <v>15</v>
      </c>
      <c r="K40" s="359">
        <v>396000</v>
      </c>
      <c r="L40" s="393" t="s">
        <v>15</v>
      </c>
      <c r="M40" s="359">
        <v>338000</v>
      </c>
      <c r="N40" s="394" t="s">
        <v>15</v>
      </c>
      <c r="O40" s="357">
        <f>M40-K40</f>
        <v>-58000</v>
      </c>
    </row>
    <row r="41" spans="1:15" ht="13.5" customHeight="1">
      <c r="A41" s="389" t="s">
        <v>42</v>
      </c>
      <c r="B41" s="389"/>
      <c r="C41" s="118" t="s">
        <v>127</v>
      </c>
      <c r="D41" s="393"/>
      <c r="E41" s="359">
        <v>38500</v>
      </c>
      <c r="F41" s="393"/>
      <c r="G41" s="359">
        <v>106200</v>
      </c>
      <c r="H41" s="393"/>
      <c r="I41" s="359">
        <f t="shared" si="1"/>
        <v>103800</v>
      </c>
      <c r="J41" s="393"/>
      <c r="K41" s="359">
        <v>210000</v>
      </c>
      <c r="L41" s="393"/>
      <c r="M41" s="359">
        <v>180000</v>
      </c>
      <c r="N41" s="746"/>
      <c r="O41" s="357">
        <f t="shared" ref="O41:O55" si="2">M41-K41</f>
        <v>-30000</v>
      </c>
    </row>
    <row r="42" spans="1:15" ht="13.5" customHeight="1">
      <c r="A42" s="389" t="s">
        <v>28</v>
      </c>
      <c r="B42" s="389"/>
      <c r="C42" s="118" t="s">
        <v>128</v>
      </c>
      <c r="D42" s="393"/>
      <c r="E42" s="359">
        <v>103999.5</v>
      </c>
      <c r="F42" s="393"/>
      <c r="G42" s="359">
        <v>0</v>
      </c>
      <c r="H42" s="393"/>
      <c r="I42" s="359">
        <f t="shared" si="1"/>
        <v>230000</v>
      </c>
      <c r="J42" s="393"/>
      <c r="K42" s="359">
        <v>230000</v>
      </c>
      <c r="L42" s="393"/>
      <c r="M42" s="359">
        <v>196000</v>
      </c>
      <c r="N42" s="746"/>
      <c r="O42" s="357">
        <f t="shared" si="2"/>
        <v>-34000</v>
      </c>
    </row>
    <row r="43" spans="1:15" ht="13.5" customHeight="1">
      <c r="A43" s="389" t="s">
        <v>130</v>
      </c>
      <c r="B43" s="389"/>
      <c r="C43" s="118" t="s">
        <v>129</v>
      </c>
      <c r="D43" s="393"/>
      <c r="E43" s="359">
        <v>310298.34999999998</v>
      </c>
      <c r="F43" s="393"/>
      <c r="G43" s="359">
        <v>157253</v>
      </c>
      <c r="H43" s="393"/>
      <c r="I43" s="359">
        <f t="shared" si="1"/>
        <v>342747</v>
      </c>
      <c r="J43" s="393"/>
      <c r="K43" s="359">
        <v>500000</v>
      </c>
      <c r="L43" s="393"/>
      <c r="M43" s="359">
        <v>500000</v>
      </c>
      <c r="N43" s="746"/>
      <c r="O43" s="357">
        <f t="shared" si="2"/>
        <v>0</v>
      </c>
    </row>
    <row r="44" spans="1:15" ht="13.5" customHeight="1">
      <c r="A44" s="389" t="s">
        <v>497</v>
      </c>
      <c r="B44" s="389"/>
      <c r="C44" s="118" t="s">
        <v>174</v>
      </c>
      <c r="D44" s="393"/>
      <c r="E44" s="359">
        <v>236303.33</v>
      </c>
      <c r="F44" s="393"/>
      <c r="G44" s="359">
        <v>58107.69</v>
      </c>
      <c r="H44" s="393"/>
      <c r="I44" s="359">
        <f t="shared" si="1"/>
        <v>166892.31</v>
      </c>
      <c r="J44" s="393"/>
      <c r="K44" s="359">
        <f>95000+130000</f>
        <v>225000</v>
      </c>
      <c r="L44" s="393"/>
      <c r="M44" s="359">
        <v>192000</v>
      </c>
      <c r="N44" s="746"/>
      <c r="O44" s="357">
        <f t="shared" si="2"/>
        <v>-33000</v>
      </c>
    </row>
    <row r="45" spans="1:15" ht="13.5" customHeight="1">
      <c r="A45" s="389" t="s">
        <v>257</v>
      </c>
      <c r="B45" s="389"/>
      <c r="C45" s="118" t="s">
        <v>133</v>
      </c>
      <c r="D45" s="393"/>
      <c r="E45" s="359">
        <v>27302.22</v>
      </c>
      <c r="F45" s="393"/>
      <c r="G45" s="359">
        <v>11731.95</v>
      </c>
      <c r="H45" s="393"/>
      <c r="I45" s="359">
        <f t="shared" si="1"/>
        <v>88268.05</v>
      </c>
      <c r="J45" s="393"/>
      <c r="K45" s="359">
        <v>100000</v>
      </c>
      <c r="L45" s="393"/>
      <c r="M45" s="359">
        <v>100000</v>
      </c>
      <c r="N45" s="746"/>
      <c r="O45" s="357">
        <f t="shared" si="2"/>
        <v>0</v>
      </c>
    </row>
    <row r="46" spans="1:15" ht="13.5" customHeight="1">
      <c r="A46" s="389" t="s">
        <v>135</v>
      </c>
      <c r="B46" s="389"/>
      <c r="C46" s="118" t="s">
        <v>134</v>
      </c>
      <c r="D46" s="393"/>
      <c r="E46" s="359">
        <v>22768.87</v>
      </c>
      <c r="F46" s="393"/>
      <c r="G46" s="359">
        <v>10654.62</v>
      </c>
      <c r="H46" s="393"/>
      <c r="I46" s="359">
        <f t="shared" si="1"/>
        <v>25345.379999999997</v>
      </c>
      <c r="J46" s="393"/>
      <c r="K46" s="359">
        <v>36000</v>
      </c>
      <c r="L46" s="393"/>
      <c r="M46" s="359">
        <v>36000</v>
      </c>
      <c r="N46" s="746"/>
      <c r="O46" s="357">
        <f t="shared" ref="O46" si="3">M46-K46</f>
        <v>0</v>
      </c>
    </row>
    <row r="47" spans="1:15" ht="13.5" customHeight="1">
      <c r="A47" s="389" t="s">
        <v>138</v>
      </c>
      <c r="B47" s="389"/>
      <c r="C47" s="118" t="s">
        <v>137</v>
      </c>
      <c r="D47" s="393"/>
      <c r="E47" s="359">
        <v>8982</v>
      </c>
      <c r="F47" s="393"/>
      <c r="G47" s="359">
        <v>6975</v>
      </c>
      <c r="H47" s="393"/>
      <c r="I47" s="359">
        <f t="shared" si="1"/>
        <v>13025</v>
      </c>
      <c r="J47" s="393"/>
      <c r="K47" s="359">
        <v>20000</v>
      </c>
      <c r="L47" s="393"/>
      <c r="M47" s="359">
        <v>17000</v>
      </c>
      <c r="N47" s="746"/>
      <c r="O47" s="357">
        <f t="shared" si="2"/>
        <v>-3000</v>
      </c>
    </row>
    <row r="48" spans="1:15" ht="13.5" customHeight="1">
      <c r="A48" s="389" t="s">
        <v>256</v>
      </c>
      <c r="B48" s="389"/>
      <c r="C48" s="118" t="s">
        <v>141</v>
      </c>
      <c r="D48" s="393"/>
      <c r="E48" s="359">
        <v>3825</v>
      </c>
      <c r="F48" s="393"/>
      <c r="G48" s="359">
        <v>0</v>
      </c>
      <c r="H48" s="393"/>
      <c r="I48" s="359">
        <f t="shared" si="1"/>
        <v>30000</v>
      </c>
      <c r="J48" s="393"/>
      <c r="K48" s="359">
        <v>30000</v>
      </c>
      <c r="L48" s="393"/>
      <c r="M48" s="359">
        <v>30000</v>
      </c>
      <c r="N48" s="746"/>
      <c r="O48" s="357">
        <f t="shared" si="2"/>
        <v>0</v>
      </c>
    </row>
    <row r="49" spans="1:17" ht="13.5" customHeight="1">
      <c r="A49" s="389" t="s">
        <v>145</v>
      </c>
      <c r="B49" s="389"/>
      <c r="C49" s="118" t="s">
        <v>144</v>
      </c>
      <c r="D49" s="393"/>
      <c r="E49" s="359">
        <v>42952.3</v>
      </c>
      <c r="F49" s="393"/>
      <c r="G49" s="359">
        <v>19572.009999999998</v>
      </c>
      <c r="H49" s="393"/>
      <c r="I49" s="359">
        <f t="shared" si="1"/>
        <v>230427.99</v>
      </c>
      <c r="J49" s="393"/>
      <c r="K49" s="359">
        <v>250000</v>
      </c>
      <c r="L49" s="393"/>
      <c r="M49" s="359">
        <v>200000</v>
      </c>
      <c r="N49" s="746"/>
      <c r="O49" s="357">
        <f t="shared" si="2"/>
        <v>-50000</v>
      </c>
    </row>
    <row r="50" spans="1:17" s="86" customFormat="1" ht="11.25" customHeight="1">
      <c r="A50" s="101" t="s">
        <v>484</v>
      </c>
      <c r="B50" s="98"/>
      <c r="C50" s="102" t="s">
        <v>164</v>
      </c>
      <c r="D50" s="111"/>
      <c r="E50" s="7">
        <v>0</v>
      </c>
      <c r="F50" s="157"/>
      <c r="G50" s="7">
        <v>0</v>
      </c>
      <c r="H50" s="136"/>
      <c r="I50" s="359">
        <f t="shared" si="1"/>
        <v>100000</v>
      </c>
      <c r="J50" s="111"/>
      <c r="K50" s="7">
        <v>100000</v>
      </c>
      <c r="L50" s="100"/>
      <c r="M50" s="7">
        <v>85530</v>
      </c>
      <c r="N50" s="748"/>
      <c r="O50" s="105">
        <f t="shared" ref="O50" si="4">M50-K50</f>
        <v>-14470</v>
      </c>
      <c r="P50" s="990"/>
      <c r="Q50" s="961"/>
    </row>
    <row r="51" spans="1:17" ht="13.5" customHeight="1">
      <c r="A51" s="389" t="s">
        <v>353</v>
      </c>
      <c r="B51" s="812"/>
      <c r="C51" s="118" t="s">
        <v>354</v>
      </c>
      <c r="D51" s="393"/>
      <c r="E51" s="359">
        <v>120000</v>
      </c>
      <c r="F51" s="393"/>
      <c r="G51" s="359">
        <v>60000</v>
      </c>
      <c r="H51" s="393"/>
      <c r="I51" s="359">
        <f t="shared" si="1"/>
        <v>60000</v>
      </c>
      <c r="J51" s="393"/>
      <c r="K51" s="359">
        <v>120000</v>
      </c>
      <c r="L51" s="393"/>
      <c r="M51" s="359">
        <v>240000</v>
      </c>
      <c r="N51" s="746"/>
      <c r="O51" s="357">
        <f t="shared" si="2"/>
        <v>120000</v>
      </c>
    </row>
    <row r="52" spans="1:17" ht="13.5" customHeight="1">
      <c r="A52" s="386" t="s">
        <v>33</v>
      </c>
      <c r="B52" s="788"/>
      <c r="C52" s="118" t="s">
        <v>148</v>
      </c>
      <c r="D52" s="393"/>
      <c r="E52" s="359"/>
      <c r="F52" s="393"/>
      <c r="G52" s="359"/>
      <c r="H52" s="393"/>
      <c r="I52" s="359">
        <f t="shared" si="1"/>
        <v>0</v>
      </c>
      <c r="J52" s="393"/>
      <c r="K52" s="359">
        <v>0</v>
      </c>
      <c r="L52" s="393"/>
      <c r="M52" s="359">
        <v>0</v>
      </c>
      <c r="N52" s="746"/>
      <c r="O52" s="747">
        <v>0</v>
      </c>
    </row>
    <row r="53" spans="1:17" ht="13.5" customHeight="1">
      <c r="A53" s="386"/>
      <c r="B53" s="359" t="s">
        <v>63</v>
      </c>
      <c r="C53" s="118"/>
      <c r="D53" s="393"/>
      <c r="E53" s="359">
        <v>0</v>
      </c>
      <c r="F53" s="393"/>
      <c r="G53" s="359">
        <v>59500</v>
      </c>
      <c r="H53" s="393"/>
      <c r="I53" s="359">
        <f t="shared" si="1"/>
        <v>140500</v>
      </c>
      <c r="J53" s="393"/>
      <c r="K53" s="359">
        <v>200000</v>
      </c>
      <c r="L53" s="393"/>
      <c r="M53" s="359">
        <v>150000</v>
      </c>
      <c r="N53" s="746"/>
      <c r="O53" s="357">
        <f t="shared" si="2"/>
        <v>-50000</v>
      </c>
    </row>
    <row r="54" spans="1:17" ht="13.5" customHeight="1">
      <c r="A54" s="386"/>
      <c r="B54" s="359" t="s">
        <v>743</v>
      </c>
      <c r="C54" s="118"/>
      <c r="D54" s="393"/>
      <c r="E54" s="359">
        <v>135771.53</v>
      </c>
      <c r="F54" s="393"/>
      <c r="G54" s="359">
        <v>1003.99</v>
      </c>
      <c r="H54" s="393"/>
      <c r="I54" s="359">
        <f t="shared" si="1"/>
        <v>283996.01</v>
      </c>
      <c r="J54" s="393"/>
      <c r="K54" s="359">
        <v>285000</v>
      </c>
      <c r="L54" s="393"/>
      <c r="M54" s="359">
        <v>200000</v>
      </c>
      <c r="N54" s="746"/>
      <c r="O54" s="357">
        <f t="shared" si="2"/>
        <v>-85000</v>
      </c>
    </row>
    <row r="55" spans="1:17" ht="13.5" customHeight="1">
      <c r="A55" s="386"/>
      <c r="B55" s="359" t="s">
        <v>342</v>
      </c>
      <c r="C55" s="118"/>
      <c r="D55" s="393"/>
      <c r="E55" s="359">
        <v>660226.13</v>
      </c>
      <c r="F55" s="393"/>
      <c r="G55" s="359">
        <v>332246.15999999997</v>
      </c>
      <c r="H55" s="393"/>
      <c r="I55" s="359">
        <f t="shared" si="1"/>
        <v>424853.84</v>
      </c>
      <c r="J55" s="393"/>
      <c r="K55" s="357">
        <v>757100</v>
      </c>
      <c r="L55" s="394"/>
      <c r="M55" s="357">
        <v>855100</v>
      </c>
      <c r="N55" s="746"/>
      <c r="O55" s="357">
        <f t="shared" si="2"/>
        <v>98000</v>
      </c>
    </row>
    <row r="56" spans="1:17" ht="13.5" customHeight="1">
      <c r="A56" s="1317" t="s">
        <v>13</v>
      </c>
      <c r="B56" s="1318"/>
      <c r="C56" s="118"/>
      <c r="D56" s="396" t="s">
        <v>15</v>
      </c>
      <c r="E56" s="395">
        <f>SUM(E40:E55)</f>
        <v>1833950.23</v>
      </c>
      <c r="F56" s="396" t="s">
        <v>15</v>
      </c>
      <c r="G56" s="395">
        <f>SUM(G40:G55)</f>
        <v>1001938.94</v>
      </c>
      <c r="H56" s="396" t="s">
        <v>15</v>
      </c>
      <c r="I56" s="395">
        <f>SUM(I40:I55)</f>
        <v>2457161.06</v>
      </c>
      <c r="J56" s="396" t="s">
        <v>15</v>
      </c>
      <c r="K56" s="395">
        <f>SUM(K40:K55)</f>
        <v>3459100</v>
      </c>
      <c r="L56" s="396" t="s">
        <v>15</v>
      </c>
      <c r="M56" s="395">
        <f>SUM(M40:M55)</f>
        <v>3319630</v>
      </c>
      <c r="N56" s="396" t="s">
        <v>15</v>
      </c>
      <c r="O56" s="395">
        <f>SUM(O40:O55)</f>
        <v>-139470</v>
      </c>
    </row>
    <row r="57" spans="1:17" ht="13.5" customHeight="1">
      <c r="A57" s="860" t="s">
        <v>283</v>
      </c>
      <c r="B57" s="788"/>
      <c r="C57" s="118"/>
      <c r="D57" s="794"/>
      <c r="E57" s="795"/>
      <c r="F57" s="794"/>
      <c r="G57" s="795"/>
      <c r="H57" s="794"/>
      <c r="I57" s="795"/>
      <c r="J57" s="794"/>
      <c r="K57" s="795"/>
      <c r="L57" s="794"/>
      <c r="M57" s="795"/>
      <c r="N57" s="794"/>
      <c r="O57" s="795"/>
    </row>
    <row r="58" spans="1:17" ht="13.5" customHeight="1">
      <c r="A58" s="400" t="s">
        <v>51</v>
      </c>
      <c r="B58" s="788"/>
      <c r="C58" s="118" t="s">
        <v>149</v>
      </c>
      <c r="D58" s="393"/>
      <c r="E58" s="359"/>
      <c r="F58" s="393"/>
      <c r="G58" s="359"/>
      <c r="H58" s="393"/>
      <c r="I58" s="359"/>
      <c r="J58" s="393"/>
      <c r="K58" s="359"/>
      <c r="L58" s="393"/>
      <c r="M58" s="359"/>
      <c r="N58" s="393"/>
      <c r="O58" s="359"/>
    </row>
    <row r="59" spans="1:17" ht="13.5" customHeight="1">
      <c r="A59" s="400" t="s">
        <v>1205</v>
      </c>
      <c r="B59" s="876"/>
      <c r="C59" s="118"/>
      <c r="D59" s="393" t="s">
        <v>15</v>
      </c>
      <c r="E59" s="359"/>
      <c r="F59" s="393" t="s">
        <v>15</v>
      </c>
      <c r="G59" s="359">
        <v>0</v>
      </c>
      <c r="H59" s="393" t="s">
        <v>15</v>
      </c>
      <c r="I59" s="359">
        <f t="shared" ref="I59" si="5">K59-G59</f>
        <v>15000</v>
      </c>
      <c r="J59" s="393" t="s">
        <v>15</v>
      </c>
      <c r="K59" s="359">
        <v>15000</v>
      </c>
      <c r="L59" s="393" t="s">
        <v>15</v>
      </c>
      <c r="M59" s="359">
        <v>0</v>
      </c>
      <c r="N59" s="393"/>
      <c r="O59" s="359"/>
    </row>
    <row r="60" spans="1:17" ht="13.5" customHeight="1">
      <c r="A60" s="400" t="s">
        <v>1317</v>
      </c>
      <c r="B60" s="788"/>
      <c r="C60" s="118"/>
      <c r="D60" s="393"/>
      <c r="E60" s="359">
        <v>39990</v>
      </c>
      <c r="F60" s="393"/>
      <c r="G60" s="359">
        <v>0</v>
      </c>
      <c r="H60" s="393"/>
      <c r="I60" s="359">
        <f t="shared" ref="I60:I72" si="6">K60-G60</f>
        <v>0</v>
      </c>
      <c r="J60" s="393"/>
      <c r="K60" s="359">
        <v>0</v>
      </c>
      <c r="L60" s="393"/>
      <c r="M60" s="359">
        <v>0</v>
      </c>
      <c r="N60" s="393"/>
      <c r="O60" s="359"/>
    </row>
    <row r="61" spans="1:17" ht="13.5" customHeight="1">
      <c r="A61" s="400" t="s">
        <v>152</v>
      </c>
      <c r="B61" s="788"/>
      <c r="C61" s="118" t="s">
        <v>150</v>
      </c>
      <c r="D61" s="403"/>
      <c r="E61" s="359"/>
      <c r="F61" s="403"/>
      <c r="G61" s="359"/>
      <c r="H61" s="403"/>
      <c r="I61" s="359"/>
      <c r="J61" s="403"/>
      <c r="K61" s="359"/>
      <c r="L61" s="403"/>
      <c r="M61" s="359"/>
      <c r="N61" s="396"/>
      <c r="O61" s="747"/>
    </row>
    <row r="62" spans="1:17" ht="13.5" customHeight="1">
      <c r="A62" s="400" t="s">
        <v>765</v>
      </c>
      <c r="B62" s="788"/>
      <c r="C62" s="118"/>
      <c r="D62" s="393"/>
      <c r="E62" s="359">
        <v>0</v>
      </c>
      <c r="F62" s="393"/>
      <c r="G62" s="359">
        <v>0</v>
      </c>
      <c r="H62" s="393"/>
      <c r="I62" s="359">
        <f t="shared" si="6"/>
        <v>70000</v>
      </c>
      <c r="J62" s="393"/>
      <c r="K62" s="359">
        <v>70000</v>
      </c>
      <c r="L62" s="393"/>
      <c r="M62" s="359">
        <v>0</v>
      </c>
      <c r="N62" s="396"/>
      <c r="O62" s="747">
        <v>0</v>
      </c>
    </row>
    <row r="63" spans="1:17" ht="13.5" customHeight="1">
      <c r="A63" s="400" t="s">
        <v>1201</v>
      </c>
      <c r="B63" s="788"/>
      <c r="C63" s="118"/>
      <c r="D63" s="393"/>
      <c r="E63" s="359">
        <v>0</v>
      </c>
      <c r="F63" s="393"/>
      <c r="G63" s="359">
        <v>0</v>
      </c>
      <c r="H63" s="393"/>
      <c r="I63" s="359">
        <f t="shared" si="6"/>
        <v>20000</v>
      </c>
      <c r="J63" s="393"/>
      <c r="K63" s="359">
        <v>20000</v>
      </c>
      <c r="L63" s="393"/>
      <c r="M63" s="359">
        <v>0</v>
      </c>
      <c r="N63" s="396"/>
      <c r="O63" s="747">
        <v>0</v>
      </c>
    </row>
    <row r="64" spans="1:17" ht="13.5" customHeight="1">
      <c r="A64" s="400" t="s">
        <v>1202</v>
      </c>
      <c r="B64" s="788"/>
      <c r="C64" s="118"/>
      <c r="D64" s="393"/>
      <c r="E64" s="359">
        <v>0</v>
      </c>
      <c r="F64" s="393"/>
      <c r="G64" s="359">
        <v>0</v>
      </c>
      <c r="H64" s="393"/>
      <c r="I64" s="359">
        <f t="shared" si="6"/>
        <v>25000</v>
      </c>
      <c r="J64" s="393"/>
      <c r="K64" s="359">
        <v>25000</v>
      </c>
      <c r="L64" s="393"/>
      <c r="M64" s="359">
        <v>0</v>
      </c>
      <c r="N64" s="396"/>
      <c r="O64" s="747">
        <v>0</v>
      </c>
    </row>
    <row r="65" spans="1:20" ht="13.5" customHeight="1">
      <c r="A65" s="861" t="s">
        <v>1203</v>
      </c>
      <c r="B65" s="852"/>
      <c r="C65" s="390"/>
      <c r="D65" s="394"/>
      <c r="E65" s="357">
        <v>0</v>
      </c>
      <c r="F65" s="394"/>
      <c r="G65" s="357">
        <v>0</v>
      </c>
      <c r="H65" s="394"/>
      <c r="I65" s="357">
        <f t="shared" si="6"/>
        <v>20000</v>
      </c>
      <c r="J65" s="394"/>
      <c r="K65" s="357">
        <v>20000</v>
      </c>
      <c r="L65" s="394"/>
      <c r="M65" s="357">
        <v>0</v>
      </c>
      <c r="N65" s="396"/>
      <c r="O65" s="747">
        <v>0</v>
      </c>
    </row>
    <row r="66" spans="1:20" ht="13.5" customHeight="1">
      <c r="A66" s="400" t="s">
        <v>1204</v>
      </c>
      <c r="B66" s="788"/>
      <c r="C66" s="118"/>
      <c r="D66" s="393"/>
      <c r="E66" s="359">
        <v>0</v>
      </c>
      <c r="F66" s="393"/>
      <c r="G66" s="359">
        <v>0</v>
      </c>
      <c r="H66" s="393"/>
      <c r="I66" s="359">
        <f t="shared" si="6"/>
        <v>45000</v>
      </c>
      <c r="J66" s="393"/>
      <c r="K66" s="359">
        <v>45000</v>
      </c>
      <c r="L66" s="393"/>
      <c r="M66" s="359">
        <v>0</v>
      </c>
      <c r="N66" s="396"/>
      <c r="O66" s="747">
        <v>0</v>
      </c>
    </row>
    <row r="67" spans="1:20" ht="13.5" customHeight="1">
      <c r="A67" s="400" t="s">
        <v>153</v>
      </c>
      <c r="B67" s="788"/>
      <c r="C67" s="118" t="s">
        <v>151</v>
      </c>
      <c r="D67" s="403"/>
      <c r="E67" s="359"/>
      <c r="F67" s="403"/>
      <c r="G67" s="359"/>
      <c r="H67" s="403"/>
      <c r="I67" s="359"/>
      <c r="J67" s="403"/>
      <c r="K67" s="359"/>
      <c r="L67" s="393"/>
      <c r="M67" s="359"/>
      <c r="N67" s="746"/>
      <c r="O67" s="747"/>
    </row>
    <row r="68" spans="1:20" ht="13.5" customHeight="1">
      <c r="A68" s="400" t="s">
        <v>333</v>
      </c>
      <c r="B68" s="788"/>
      <c r="C68" s="118"/>
      <c r="D68" s="403"/>
      <c r="E68" s="359">
        <v>79980</v>
      </c>
      <c r="F68" s="403"/>
      <c r="G68" s="359"/>
      <c r="H68" s="403"/>
      <c r="I68" s="359">
        <f t="shared" si="6"/>
        <v>0</v>
      </c>
      <c r="J68" s="403"/>
      <c r="K68" s="359">
        <v>0</v>
      </c>
      <c r="L68" s="393"/>
      <c r="M68" s="359">
        <v>0</v>
      </c>
      <c r="N68" s="746"/>
      <c r="O68" s="747">
        <v>0</v>
      </c>
    </row>
    <row r="69" spans="1:20" ht="13.5" customHeight="1">
      <c r="A69" s="400" t="s">
        <v>1318</v>
      </c>
      <c r="B69" s="788"/>
      <c r="C69" s="118"/>
      <c r="D69" s="403"/>
      <c r="E69" s="359">
        <v>60000</v>
      </c>
      <c r="F69" s="403"/>
      <c r="G69" s="359"/>
      <c r="H69" s="403"/>
      <c r="I69" s="359">
        <f t="shared" si="6"/>
        <v>0</v>
      </c>
      <c r="J69" s="403"/>
      <c r="K69" s="359">
        <v>0</v>
      </c>
      <c r="L69" s="393"/>
      <c r="M69" s="359">
        <v>0</v>
      </c>
      <c r="N69" s="746"/>
      <c r="O69" s="747">
        <v>0</v>
      </c>
    </row>
    <row r="70" spans="1:20" s="8" customFormat="1" ht="11.25" customHeight="1">
      <c r="A70" s="124" t="s">
        <v>1115</v>
      </c>
      <c r="B70" s="828"/>
      <c r="C70" s="102" t="s">
        <v>1116</v>
      </c>
      <c r="D70" s="100"/>
      <c r="E70" s="7"/>
      <c r="F70" s="827"/>
      <c r="G70" s="827"/>
      <c r="H70" s="826"/>
      <c r="I70" s="359"/>
      <c r="J70" s="100"/>
      <c r="K70" s="184"/>
      <c r="L70" s="122"/>
      <c r="M70" s="184"/>
      <c r="N70" s="109"/>
      <c r="O70" s="750"/>
      <c r="P70" s="917"/>
      <c r="Q70" s="917"/>
    </row>
    <row r="71" spans="1:20" s="8" customFormat="1" ht="11.25" customHeight="1">
      <c r="A71" s="124" t="s">
        <v>1206</v>
      </c>
      <c r="B71" s="828"/>
      <c r="C71" s="102"/>
      <c r="D71" s="100"/>
      <c r="E71" s="7">
        <v>0</v>
      </c>
      <c r="F71" s="827"/>
      <c r="G71" s="827">
        <v>0</v>
      </c>
      <c r="H71" s="826"/>
      <c r="I71" s="359">
        <f t="shared" si="6"/>
        <v>40000</v>
      </c>
      <c r="J71" s="100"/>
      <c r="K71" s="184">
        <v>40000</v>
      </c>
      <c r="L71" s="122"/>
      <c r="M71" s="184">
        <v>0</v>
      </c>
      <c r="N71" s="109"/>
      <c r="O71" s="750">
        <v>0</v>
      </c>
      <c r="P71" s="917"/>
      <c r="Q71" s="917"/>
    </row>
    <row r="72" spans="1:20" ht="13.5" customHeight="1">
      <c r="A72" s="400" t="s">
        <v>50</v>
      </c>
      <c r="B72" s="399"/>
      <c r="C72" s="118" t="s">
        <v>156</v>
      </c>
      <c r="D72" s="403"/>
      <c r="E72" s="359"/>
      <c r="F72" s="403"/>
      <c r="G72" s="359"/>
      <c r="H72" s="403"/>
      <c r="I72" s="359">
        <f t="shared" si="6"/>
        <v>0</v>
      </c>
      <c r="J72" s="403"/>
      <c r="K72" s="357"/>
      <c r="L72" s="394"/>
      <c r="M72" s="357"/>
      <c r="N72" s="746"/>
      <c r="O72" s="747"/>
    </row>
    <row r="73" spans="1:20" ht="13.5" customHeight="1">
      <c r="A73" s="1316" t="s">
        <v>16</v>
      </c>
      <c r="B73" s="1316"/>
      <c r="C73" s="118"/>
      <c r="D73" s="396" t="s">
        <v>15</v>
      </c>
      <c r="E73" s="395">
        <f>SUM(E58:E72)</f>
        <v>179970</v>
      </c>
      <c r="F73" s="396" t="s">
        <v>15</v>
      </c>
      <c r="G73" s="395">
        <f>SUM(G58:G72)</f>
        <v>0</v>
      </c>
      <c r="H73" s="396" t="s">
        <v>15</v>
      </c>
      <c r="I73" s="395">
        <f>SUM(I58:I72)</f>
        <v>235000</v>
      </c>
      <c r="J73" s="396" t="s">
        <v>15</v>
      </c>
      <c r="K73" s="395">
        <f>SUM(K58:K72)</f>
        <v>235000</v>
      </c>
      <c r="L73" s="396" t="s">
        <v>15</v>
      </c>
      <c r="M73" s="395">
        <f>SUM(M58:M72)</f>
        <v>0</v>
      </c>
      <c r="N73" s="396" t="s">
        <v>15</v>
      </c>
      <c r="O73" s="395">
        <f>M73-K73</f>
        <v>-235000</v>
      </c>
    </row>
    <row r="74" spans="1:20" ht="6" customHeight="1">
      <c r="A74" s="386"/>
      <c r="B74" s="398"/>
      <c r="C74" s="118"/>
      <c r="D74" s="392"/>
      <c r="E74" s="391"/>
      <c r="F74" s="392"/>
      <c r="G74" s="391"/>
      <c r="H74" s="392"/>
      <c r="I74" s="391"/>
      <c r="J74" s="392"/>
      <c r="K74" s="391"/>
      <c r="L74" s="392"/>
      <c r="M74" s="391"/>
      <c r="N74" s="392"/>
      <c r="O74" s="391"/>
    </row>
    <row r="75" spans="1:20" ht="13.5" customHeight="1">
      <c r="A75" s="1319" t="s">
        <v>277</v>
      </c>
      <c r="B75" s="1319"/>
      <c r="C75" s="390"/>
      <c r="D75" s="402" t="s">
        <v>15</v>
      </c>
      <c r="E75" s="401">
        <f>E73+E56+E37</f>
        <v>5987927.8300000001</v>
      </c>
      <c r="F75" s="402" t="s">
        <v>15</v>
      </c>
      <c r="G75" s="401">
        <f>G73+G56+G37</f>
        <v>3041471.6</v>
      </c>
      <c r="H75" s="402" t="s">
        <v>15</v>
      </c>
      <c r="I75" s="401">
        <f>I73+I56+I37</f>
        <v>4993304.4000000004</v>
      </c>
      <c r="J75" s="402" t="s">
        <v>15</v>
      </c>
      <c r="K75" s="401">
        <f>K73+K56+K37</f>
        <v>8034776</v>
      </c>
      <c r="L75" s="402" t="s">
        <v>15</v>
      </c>
      <c r="M75" s="401">
        <f>M73+M56+M37</f>
        <v>7920860</v>
      </c>
      <c r="N75" s="402"/>
      <c r="O75" s="401"/>
      <c r="P75" s="991">
        <v>8034776</v>
      </c>
    </row>
    <row r="76" spans="1:20" ht="6.75" customHeight="1">
      <c r="A76" s="913"/>
      <c r="B76" s="913"/>
      <c r="C76" s="914"/>
      <c r="D76" s="371"/>
      <c r="E76" s="372"/>
      <c r="F76" s="371"/>
      <c r="G76" s="372"/>
      <c r="H76" s="371"/>
      <c r="I76" s="372"/>
      <c r="J76" s="371"/>
      <c r="K76" s="372"/>
      <c r="L76" s="371"/>
      <c r="M76" s="372"/>
      <c r="N76" s="371"/>
      <c r="O76" s="372"/>
      <c r="P76" s="991"/>
    </row>
    <row r="77" spans="1:20" ht="13.5" customHeight="1">
      <c r="A77" s="1151" t="s">
        <v>1623</v>
      </c>
      <c r="B77" s="373"/>
      <c r="C77" s="366"/>
      <c r="D77" s="371"/>
      <c r="E77" s="372"/>
      <c r="F77" s="371"/>
      <c r="G77" s="372"/>
      <c r="H77" s="371"/>
      <c r="I77" s="372"/>
      <c r="J77" s="371"/>
      <c r="K77" s="372"/>
      <c r="L77" s="371"/>
      <c r="M77" s="372"/>
      <c r="N77" s="371"/>
      <c r="O77" s="372"/>
    </row>
    <row r="78" spans="1:20" ht="13.5" customHeight="1">
      <c r="A78" s="373"/>
      <c r="B78" s="373"/>
      <c r="C78" s="366"/>
      <c r="D78" s="371"/>
      <c r="E78" s="372"/>
      <c r="F78" s="371"/>
      <c r="G78" s="372"/>
      <c r="H78" s="371"/>
      <c r="I78" s="372"/>
      <c r="J78" s="371"/>
      <c r="K78" s="372"/>
      <c r="L78" s="371"/>
      <c r="M78" s="372"/>
      <c r="N78" s="371"/>
      <c r="O78" s="372"/>
    </row>
    <row r="79" spans="1:20" s="374" customFormat="1">
      <c r="A79" s="374" t="s">
        <v>187</v>
      </c>
      <c r="C79" s="375" t="s">
        <v>188</v>
      </c>
      <c r="F79" s="376"/>
      <c r="I79" s="374" t="s">
        <v>190</v>
      </c>
      <c r="L79" s="376"/>
      <c r="N79" s="376"/>
      <c r="P79" s="992"/>
      <c r="Q79" s="992"/>
      <c r="R79" s="377"/>
      <c r="S79" s="377"/>
      <c r="T79" s="377"/>
    </row>
    <row r="82" spans="1:17" s="369" customFormat="1">
      <c r="A82" s="1313" t="s">
        <v>1599</v>
      </c>
      <c r="B82" s="1313"/>
      <c r="C82" s="1313" t="s">
        <v>1584</v>
      </c>
      <c r="D82" s="1313"/>
      <c r="E82" s="1313"/>
      <c r="F82" s="1313"/>
      <c r="G82" s="1313"/>
      <c r="H82" s="371"/>
      <c r="I82" s="1313" t="s">
        <v>1600</v>
      </c>
      <c r="J82" s="1313"/>
      <c r="K82" s="1313"/>
      <c r="L82" s="1313"/>
      <c r="M82" s="1313"/>
      <c r="P82" s="993"/>
      <c r="Q82" s="993"/>
    </row>
    <row r="83" spans="1:17">
      <c r="A83" s="1311" t="s">
        <v>196</v>
      </c>
      <c r="B83" s="1311"/>
      <c r="C83" s="1311" t="s">
        <v>198</v>
      </c>
      <c r="D83" s="1311"/>
      <c r="E83" s="1311"/>
      <c r="F83" s="1311"/>
      <c r="G83" s="1311"/>
      <c r="I83" s="1311" t="s">
        <v>192</v>
      </c>
      <c r="J83" s="1311"/>
      <c r="K83" s="1311"/>
      <c r="L83" s="1311"/>
      <c r="M83" s="1311"/>
      <c r="N83" s="367"/>
    </row>
    <row r="89" spans="1:17" ht="15" customHeight="1">
      <c r="A89" s="378" t="s">
        <v>197</v>
      </c>
      <c r="B89" s="378"/>
      <c r="C89" s="369"/>
      <c r="D89" s="371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</row>
    <row r="90" spans="1:17">
      <c r="A90" s="379" t="s">
        <v>199</v>
      </c>
      <c r="B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</row>
    <row r="131" spans="1:14">
      <c r="A131" s="369" t="s">
        <v>246</v>
      </c>
      <c r="F131" s="367"/>
      <c r="H131" s="367"/>
      <c r="J131" s="367"/>
      <c r="L131" s="367"/>
      <c r="N131" s="367"/>
    </row>
    <row r="132" spans="1:14">
      <c r="A132" s="1311" t="s">
        <v>60</v>
      </c>
      <c r="B132" s="1311"/>
      <c r="F132" s="367"/>
      <c r="H132" s="367"/>
      <c r="J132" s="367"/>
      <c r="L132" s="367"/>
      <c r="N132" s="367"/>
    </row>
    <row r="133" spans="1:14">
      <c r="A133" s="367" t="s">
        <v>233</v>
      </c>
      <c r="E133" s="380" t="s">
        <v>228</v>
      </c>
      <c r="F133" s="367"/>
      <c r="H133" s="367"/>
      <c r="J133" s="367"/>
      <c r="L133" s="367"/>
      <c r="N133" s="367"/>
    </row>
    <row r="134" spans="1:14">
      <c r="F134" s="367"/>
      <c r="H134" s="367"/>
      <c r="J134" s="367"/>
      <c r="L134" s="367"/>
      <c r="N134" s="367"/>
    </row>
    <row r="135" spans="1:14">
      <c r="A135" s="370" t="s">
        <v>61</v>
      </c>
      <c r="D135" s="368" t="s">
        <v>15</v>
      </c>
      <c r="E135" s="370">
        <v>277000</v>
      </c>
      <c r="F135" s="367"/>
      <c r="H135" s="367"/>
      <c r="J135" s="367"/>
      <c r="L135" s="367"/>
      <c r="N135" s="367"/>
    </row>
    <row r="136" spans="1:14">
      <c r="A136" s="370" t="s">
        <v>62</v>
      </c>
      <c r="E136" s="370">
        <v>120000</v>
      </c>
      <c r="F136" s="367"/>
      <c r="H136" s="367"/>
      <c r="J136" s="367"/>
      <c r="L136" s="367"/>
      <c r="N136" s="367"/>
    </row>
    <row r="137" spans="1:14" ht="15.75">
      <c r="A137" s="370" t="s">
        <v>63</v>
      </c>
      <c r="E137" s="381">
        <v>178000</v>
      </c>
      <c r="F137" s="367"/>
      <c r="H137" s="367"/>
      <c r="J137" s="367"/>
      <c r="L137" s="367"/>
      <c r="N137" s="367"/>
    </row>
    <row r="138" spans="1:14">
      <c r="A138" s="1310" t="s">
        <v>64</v>
      </c>
      <c r="B138" s="1310"/>
      <c r="D138" s="368" t="s">
        <v>15</v>
      </c>
      <c r="E138" s="370">
        <f>SUM(E135:E137)</f>
        <v>575000</v>
      </c>
      <c r="F138" s="367"/>
      <c r="H138" s="367"/>
      <c r="J138" s="367"/>
      <c r="L138" s="367"/>
      <c r="N138" s="367"/>
    </row>
    <row r="139" spans="1:14">
      <c r="A139" s="370"/>
      <c r="F139" s="367"/>
      <c r="H139" s="367"/>
      <c r="J139" s="367"/>
      <c r="L139" s="367"/>
      <c r="N139" s="367"/>
    </row>
    <row r="140" spans="1:14">
      <c r="A140" s="370"/>
      <c r="F140" s="367"/>
      <c r="H140" s="367"/>
      <c r="J140" s="367"/>
      <c r="L140" s="367"/>
      <c r="N140" s="367"/>
    </row>
    <row r="142" spans="1:14">
      <c r="A142" s="369" t="s">
        <v>246</v>
      </c>
    </row>
    <row r="143" spans="1:14">
      <c r="A143" s="1311" t="s">
        <v>60</v>
      </c>
      <c r="B143" s="1311"/>
    </row>
    <row r="144" spans="1:14">
      <c r="A144" s="367" t="s">
        <v>233</v>
      </c>
      <c r="E144" s="380" t="s">
        <v>300</v>
      </c>
    </row>
    <row r="146" spans="1:5">
      <c r="A146" s="370" t="s">
        <v>62</v>
      </c>
      <c r="E146" s="370">
        <v>120000</v>
      </c>
    </row>
    <row r="147" spans="1:5">
      <c r="A147" s="370" t="s">
        <v>63</v>
      </c>
      <c r="E147" s="370">
        <v>300000</v>
      </c>
    </row>
    <row r="148" spans="1:5" ht="15.75">
      <c r="A148" s="370" t="s">
        <v>323</v>
      </c>
      <c r="E148" s="381">
        <v>240000</v>
      </c>
    </row>
    <row r="149" spans="1:5">
      <c r="A149" s="1310" t="s">
        <v>64</v>
      </c>
      <c r="B149" s="1310"/>
      <c r="D149" s="368" t="s">
        <v>15</v>
      </c>
      <c r="E149" s="370">
        <f>SUM(E146:E148)</f>
        <v>660000</v>
      </c>
    </row>
    <row r="150" spans="1:5">
      <c r="A150" s="370"/>
    </row>
    <row r="151" spans="1:5">
      <c r="A151" s="370"/>
    </row>
    <row r="163" spans="1:5">
      <c r="A163" s="369" t="s">
        <v>246</v>
      </c>
    </row>
    <row r="164" spans="1:5">
      <c r="A164" s="1311" t="s">
        <v>60</v>
      </c>
      <c r="B164" s="1311"/>
    </row>
    <row r="165" spans="1:5">
      <c r="A165" s="367" t="s">
        <v>233</v>
      </c>
      <c r="E165" s="380" t="s">
        <v>300</v>
      </c>
    </row>
    <row r="167" spans="1:5">
      <c r="A167" s="370" t="s">
        <v>62</v>
      </c>
      <c r="E167" s="370">
        <v>120000</v>
      </c>
    </row>
    <row r="168" spans="1:5">
      <c r="A168" s="370" t="s">
        <v>63</v>
      </c>
      <c r="E168" s="370">
        <v>300000</v>
      </c>
    </row>
    <row r="169" spans="1:5" ht="15.75">
      <c r="A169" s="370" t="s">
        <v>323</v>
      </c>
      <c r="E169" s="381">
        <v>240000</v>
      </c>
    </row>
    <row r="170" spans="1:5">
      <c r="A170" s="1310" t="s">
        <v>64</v>
      </c>
      <c r="B170" s="1310"/>
      <c r="D170" s="368" t="s">
        <v>15</v>
      </c>
      <c r="E170" s="370">
        <f>SUM(E167:E169)</f>
        <v>660000</v>
      </c>
    </row>
    <row r="171" spans="1:5">
      <c r="A171" s="370"/>
    </row>
    <row r="172" spans="1:5">
      <c r="A172" s="370"/>
    </row>
    <row r="174" spans="1:5">
      <c r="A174" s="369" t="s">
        <v>238</v>
      </c>
    </row>
    <row r="175" spans="1:5">
      <c r="A175" s="1311" t="s">
        <v>60</v>
      </c>
      <c r="B175" s="1311"/>
    </row>
    <row r="176" spans="1:5">
      <c r="A176" s="367" t="s">
        <v>233</v>
      </c>
      <c r="E176" s="380" t="s">
        <v>300</v>
      </c>
    </row>
    <row r="178" spans="1:5">
      <c r="A178" s="370" t="s">
        <v>72</v>
      </c>
      <c r="D178" s="368" t="s">
        <v>15</v>
      </c>
      <c r="E178" s="370">
        <v>172640</v>
      </c>
    </row>
    <row r="179" spans="1:5">
      <c r="A179" s="370" t="s">
        <v>73</v>
      </c>
      <c r="E179" s="370">
        <v>450000</v>
      </c>
    </row>
    <row r="180" spans="1:5">
      <c r="A180" s="370" t="s">
        <v>74</v>
      </c>
      <c r="E180" s="370">
        <v>186360</v>
      </c>
    </row>
    <row r="181" spans="1:5">
      <c r="A181" s="370" t="s">
        <v>75</v>
      </c>
      <c r="E181" s="370">
        <v>240000</v>
      </c>
    </row>
    <row r="182" spans="1:5" ht="15.75">
      <c r="A182" s="370" t="s">
        <v>61</v>
      </c>
      <c r="E182" s="381">
        <v>88000</v>
      </c>
    </row>
    <row r="183" spans="1:5">
      <c r="A183" s="1310" t="s">
        <v>64</v>
      </c>
      <c r="B183" s="1310"/>
      <c r="D183" s="368" t="s">
        <v>15</v>
      </c>
      <c r="E183" s="370">
        <f>SUM(E178:E182)</f>
        <v>1137000</v>
      </c>
    </row>
    <row r="184" spans="1:5">
      <c r="A184" s="370"/>
    </row>
    <row r="186" spans="1:5">
      <c r="A186" s="369" t="s">
        <v>239</v>
      </c>
    </row>
    <row r="187" spans="1:5">
      <c r="A187" s="1311" t="s">
        <v>60</v>
      </c>
      <c r="B187" s="1311"/>
    </row>
    <row r="188" spans="1:5">
      <c r="A188" s="367" t="s">
        <v>233</v>
      </c>
      <c r="E188" s="380" t="s">
        <v>300</v>
      </c>
    </row>
    <row r="190" spans="1:5">
      <c r="A190" s="370" t="s">
        <v>302</v>
      </c>
      <c r="D190" s="368" t="s">
        <v>15</v>
      </c>
      <c r="E190" s="370">
        <v>240000</v>
      </c>
    </row>
    <row r="191" spans="1:5">
      <c r="A191" s="370" t="s">
        <v>301</v>
      </c>
      <c r="E191" s="370">
        <v>160000</v>
      </c>
    </row>
    <row r="192" spans="1:5">
      <c r="A192" s="370" t="s">
        <v>66</v>
      </c>
      <c r="E192" s="370">
        <v>170000</v>
      </c>
    </row>
    <row r="193" spans="1:5">
      <c r="A193" s="370" t="s">
        <v>67</v>
      </c>
      <c r="E193" s="370">
        <v>350000</v>
      </c>
    </row>
    <row r="194" spans="1:5" ht="15.75">
      <c r="A194" s="370" t="s">
        <v>323</v>
      </c>
      <c r="E194" s="381">
        <v>330000</v>
      </c>
    </row>
    <row r="195" spans="1:5">
      <c r="A195" s="1310" t="s">
        <v>64</v>
      </c>
      <c r="B195" s="1310"/>
      <c r="D195" s="368" t="s">
        <v>15</v>
      </c>
      <c r="E195" s="370">
        <f>SUM(E190:E194)</f>
        <v>1250000</v>
      </c>
    </row>
    <row r="196" spans="1:5">
      <c r="A196" s="370"/>
    </row>
  </sheetData>
  <sheetProtection algorithmName="SHA-512" hashValue="8GsQrFg1Qq+b9PgxkALjjsOnfKQfUOVB6VroxNtDV/nyOuvBEvpwi0/wjMpTYcHPAzmGA6SNd0JkM9bG5neY4g==" saltValue="0N/3IZ+hO3/9PX2zc+1QpQ==" spinCount="100000" sheet="1" objects="1" scenarios="1"/>
  <mergeCells count="38">
    <mergeCell ref="N11:O13"/>
    <mergeCell ref="I82:M82"/>
    <mergeCell ref="I83:M83"/>
    <mergeCell ref="A143:B143"/>
    <mergeCell ref="A149:B149"/>
    <mergeCell ref="A138:B138"/>
    <mergeCell ref="A82:B82"/>
    <mergeCell ref="A132:B132"/>
    <mergeCell ref="A83:B83"/>
    <mergeCell ref="C82:G82"/>
    <mergeCell ref="C83:G83"/>
    <mergeCell ref="A37:B37"/>
    <mergeCell ref="A56:B56"/>
    <mergeCell ref="A73:B73"/>
    <mergeCell ref="A75:B75"/>
    <mergeCell ref="L12:M12"/>
    <mergeCell ref="A3:M3"/>
    <mergeCell ref="A4:M4"/>
    <mergeCell ref="F7:M7"/>
    <mergeCell ref="F8:M8"/>
    <mergeCell ref="D11:E11"/>
    <mergeCell ref="L11:M11"/>
    <mergeCell ref="F11:K11"/>
    <mergeCell ref="L13:M13"/>
    <mergeCell ref="H12:I12"/>
    <mergeCell ref="H13:I13"/>
    <mergeCell ref="J12:K13"/>
    <mergeCell ref="A187:B187"/>
    <mergeCell ref="A12:B12"/>
    <mergeCell ref="D12:E12"/>
    <mergeCell ref="F12:G12"/>
    <mergeCell ref="D13:E13"/>
    <mergeCell ref="F13:G13"/>
    <mergeCell ref="A195:B195"/>
    <mergeCell ref="A164:B164"/>
    <mergeCell ref="A170:B170"/>
    <mergeCell ref="A175:B175"/>
    <mergeCell ref="A183:B183"/>
  </mergeCells>
  <pageMargins left="0.2" right="0.2" top="1" bottom="1" header="0.3" footer="0.3"/>
  <pageSetup paperSize="14" orientation="portrait" verticalDpi="300" r:id="rId1"/>
  <headerFooter alignWithMargins="0">
    <oddHeader>&amp;RPage &amp;P of &amp;N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2"/>
  <sheetViews>
    <sheetView topLeftCell="A25" zoomScale="180" zoomScaleNormal="180" workbookViewId="0">
      <selection activeCell="N22" sqref="N22"/>
    </sheetView>
  </sheetViews>
  <sheetFormatPr defaultColWidth="9.140625" defaultRowHeight="13.5"/>
  <cols>
    <col min="1" max="1" width="3" style="417" customWidth="1"/>
    <col min="2" max="2" width="36.28515625" style="417" customWidth="1"/>
    <col min="3" max="3" width="7.5703125" style="897" customWidth="1"/>
    <col min="4" max="4" width="1.5703125" style="418" customWidth="1"/>
    <col min="5" max="5" width="9.7109375" style="107" customWidth="1"/>
    <col min="6" max="6" width="1.42578125" style="418" customWidth="1"/>
    <col min="7" max="7" width="10.28515625" style="417" customWidth="1"/>
    <col min="8" max="8" width="2.140625" style="418" customWidth="1"/>
    <col min="9" max="9" width="9.7109375" style="417" customWidth="1"/>
    <col min="10" max="10" width="1.7109375" style="418" customWidth="1"/>
    <col min="11" max="11" width="9.85546875" style="417" customWidth="1"/>
    <col min="12" max="12" width="2.140625" style="418" customWidth="1"/>
    <col min="13" max="13" width="9.7109375" style="417" customWidth="1"/>
    <col min="14" max="16384" width="9.140625" style="417"/>
  </cols>
  <sheetData>
    <row r="1" spans="1:14">
      <c r="A1" s="417" t="s">
        <v>186</v>
      </c>
      <c r="D1" s="417"/>
      <c r="E1" s="330"/>
      <c r="F1" s="417"/>
      <c r="G1" s="418"/>
      <c r="H1" s="417"/>
      <c r="I1" s="418"/>
      <c r="J1" s="417"/>
      <c r="K1" s="418"/>
      <c r="L1" s="417"/>
      <c r="M1" s="418"/>
    </row>
    <row r="2" spans="1:14" ht="8.25" customHeight="1">
      <c r="D2" s="417"/>
      <c r="E2" s="330"/>
      <c r="F2" s="417"/>
      <c r="G2" s="418"/>
      <c r="H2" s="417"/>
      <c r="I2" s="418"/>
      <c r="J2" s="417"/>
      <c r="K2" s="418"/>
      <c r="L2" s="417"/>
      <c r="M2" s="418"/>
    </row>
    <row r="3" spans="1:14">
      <c r="A3" s="1383" t="s">
        <v>35</v>
      </c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1383"/>
      <c r="N3" s="419"/>
    </row>
    <row r="4" spans="1:14">
      <c r="A4" s="1383" t="s">
        <v>26</v>
      </c>
      <c r="B4" s="1383"/>
      <c r="C4" s="1383"/>
      <c r="D4" s="1383"/>
      <c r="E4" s="1383"/>
      <c r="F4" s="1383"/>
      <c r="G4" s="1383"/>
      <c r="H4" s="1383"/>
      <c r="I4" s="1383"/>
      <c r="J4" s="1383"/>
      <c r="K4" s="1383"/>
      <c r="L4" s="1383"/>
      <c r="M4" s="1383"/>
      <c r="N4" s="419"/>
    </row>
    <row r="5" spans="1:14" ht="6.75" customHeight="1">
      <c r="D5" s="417"/>
      <c r="E5" s="330"/>
      <c r="F5" s="417"/>
      <c r="G5" s="418"/>
      <c r="H5" s="417"/>
      <c r="I5" s="418"/>
      <c r="J5" s="417"/>
      <c r="K5" s="418"/>
      <c r="L5" s="417"/>
      <c r="M5" s="418"/>
    </row>
    <row r="6" spans="1:14">
      <c r="A6" s="417" t="s">
        <v>531</v>
      </c>
      <c r="B6" s="420"/>
      <c r="C6" s="421"/>
      <c r="D6" s="420"/>
      <c r="E6" s="331"/>
    </row>
    <row r="7" spans="1:14">
      <c r="A7" s="417" t="s">
        <v>532</v>
      </c>
      <c r="B7" s="420"/>
      <c r="C7" s="421"/>
      <c r="D7" s="420"/>
      <c r="E7" s="331"/>
      <c r="F7" s="422"/>
      <c r="G7" s="422"/>
      <c r="H7" s="422"/>
      <c r="I7" s="422"/>
      <c r="J7" s="1405"/>
      <c r="K7" s="1405"/>
      <c r="L7" s="1405"/>
      <c r="M7" s="1405"/>
    </row>
    <row r="8" spans="1:14">
      <c r="A8" s="417" t="s">
        <v>533</v>
      </c>
      <c r="B8" s="420"/>
      <c r="C8" s="421"/>
      <c r="D8" s="420"/>
      <c r="E8" s="331"/>
      <c r="F8" s="422"/>
      <c r="G8" s="422"/>
      <c r="H8" s="422"/>
      <c r="I8" s="422"/>
      <c r="J8" s="1384"/>
      <c r="K8" s="1384"/>
      <c r="L8" s="1384"/>
      <c r="M8" s="1384"/>
    </row>
    <row r="9" spans="1:14">
      <c r="A9" s="417" t="s">
        <v>534</v>
      </c>
      <c r="B9" s="420"/>
      <c r="C9" s="421"/>
      <c r="D9" s="420"/>
      <c r="E9" s="331"/>
    </row>
    <row r="10" spans="1:14">
      <c r="A10" s="423"/>
      <c r="B10" s="424"/>
      <c r="C10" s="898" t="s">
        <v>5</v>
      </c>
      <c r="D10" s="1401" t="s">
        <v>7</v>
      </c>
      <c r="E10" s="1401"/>
      <c r="F10" s="1402" t="s">
        <v>1304</v>
      </c>
      <c r="G10" s="1403"/>
      <c r="H10" s="1403"/>
      <c r="I10" s="1403"/>
      <c r="J10" s="1403"/>
      <c r="K10" s="1404"/>
      <c r="L10" s="1401" t="s">
        <v>8</v>
      </c>
      <c r="M10" s="1401"/>
    </row>
    <row r="11" spans="1:14">
      <c r="A11" s="1410" t="s">
        <v>34</v>
      </c>
      <c r="B11" s="1411"/>
      <c r="C11" s="425" t="s">
        <v>6</v>
      </c>
      <c r="D11" s="1389">
        <v>2021</v>
      </c>
      <c r="E11" s="1389"/>
      <c r="F11" s="1390" t="s">
        <v>184</v>
      </c>
      <c r="G11" s="1391"/>
      <c r="H11" s="1390" t="s">
        <v>185</v>
      </c>
      <c r="I11" s="1391"/>
      <c r="J11" s="1394" t="s">
        <v>64</v>
      </c>
      <c r="K11" s="1395"/>
      <c r="L11" s="1389">
        <v>2023</v>
      </c>
      <c r="M11" s="1389"/>
    </row>
    <row r="12" spans="1:14" ht="9.75" customHeight="1">
      <c r="A12" s="426"/>
      <c r="B12" s="427"/>
      <c r="C12" s="428"/>
      <c r="D12" s="1398" t="s">
        <v>10</v>
      </c>
      <c r="E12" s="1398"/>
      <c r="F12" s="1399" t="s">
        <v>10</v>
      </c>
      <c r="G12" s="1400"/>
      <c r="H12" s="1399" t="s">
        <v>9</v>
      </c>
      <c r="I12" s="1400"/>
      <c r="J12" s="1396"/>
      <c r="K12" s="1397"/>
      <c r="L12" s="1398" t="s">
        <v>27</v>
      </c>
      <c r="M12" s="1398"/>
    </row>
    <row r="13" spans="1:14" ht="12.6" customHeight="1">
      <c r="A13" s="429" t="s">
        <v>21</v>
      </c>
      <c r="B13" s="430"/>
      <c r="C13" s="431"/>
      <c r="D13" s="432"/>
      <c r="E13" s="303"/>
      <c r="F13" s="44"/>
      <c r="G13" s="433"/>
      <c r="H13" s="44"/>
      <c r="I13" s="433"/>
      <c r="J13" s="44"/>
      <c r="K13" s="433"/>
      <c r="L13" s="45"/>
      <c r="M13" s="433"/>
      <c r="N13" s="136"/>
    </row>
    <row r="14" spans="1:14" ht="12.6" customHeight="1">
      <c r="A14" s="434" t="s">
        <v>49</v>
      </c>
      <c r="B14" s="430"/>
      <c r="C14" s="435" t="s">
        <v>160</v>
      </c>
      <c r="D14" s="436" t="s">
        <v>15</v>
      </c>
      <c r="E14" s="299">
        <v>1154238.31</v>
      </c>
      <c r="F14" s="47" t="s">
        <v>15</v>
      </c>
      <c r="G14" s="26">
        <v>6293734.8399999999</v>
      </c>
      <c r="H14" s="47" t="s">
        <v>15</v>
      </c>
      <c r="I14" s="299">
        <f>K14-G14</f>
        <v>3456265.16</v>
      </c>
      <c r="J14" s="47" t="s">
        <v>15</v>
      </c>
      <c r="K14" s="299">
        <v>9750000</v>
      </c>
      <c r="L14" s="27" t="s">
        <v>15</v>
      </c>
      <c r="M14" s="299">
        <v>2164000</v>
      </c>
      <c r="N14" s="136"/>
    </row>
    <row r="15" spans="1:14" ht="12.6" customHeight="1">
      <c r="A15" s="434" t="s">
        <v>817</v>
      </c>
      <c r="B15" s="430"/>
      <c r="C15" s="431" t="s">
        <v>161</v>
      </c>
      <c r="D15" s="437"/>
      <c r="E15" s="299"/>
      <c r="F15" s="437"/>
      <c r="G15" s="299"/>
      <c r="H15" s="437"/>
      <c r="I15" s="299"/>
      <c r="J15" s="437"/>
      <c r="K15" s="299"/>
      <c r="L15" s="437"/>
      <c r="M15" s="299"/>
    </row>
    <row r="16" spans="1:14" ht="12.6" customHeight="1">
      <c r="A16" s="434"/>
      <c r="B16" s="430" t="s">
        <v>856</v>
      </c>
      <c r="C16" s="431"/>
      <c r="D16" s="437"/>
      <c r="E16" s="299">
        <v>8500000</v>
      </c>
      <c r="F16" s="437"/>
      <c r="G16" s="299">
        <v>0</v>
      </c>
      <c r="H16" s="437"/>
      <c r="I16" s="299">
        <v>0</v>
      </c>
      <c r="J16" s="437"/>
      <c r="K16" s="299">
        <v>0</v>
      </c>
      <c r="L16" s="437"/>
      <c r="M16" s="299">
        <v>0</v>
      </c>
    </row>
    <row r="17" spans="1:13" ht="12.6" customHeight="1">
      <c r="A17" s="434"/>
      <c r="B17" s="430" t="s">
        <v>1383</v>
      </c>
      <c r="C17" s="431"/>
      <c r="D17" s="437"/>
      <c r="E17" s="299">
        <v>3814209.92</v>
      </c>
      <c r="F17" s="437"/>
      <c r="G17" s="26">
        <v>0</v>
      </c>
      <c r="H17" s="437"/>
      <c r="I17" s="299">
        <f>K17-G17</f>
        <v>0</v>
      </c>
      <c r="J17" s="437"/>
      <c r="K17" s="299">
        <v>0</v>
      </c>
      <c r="L17" s="437"/>
      <c r="M17" s="299">
        <v>0</v>
      </c>
    </row>
    <row r="18" spans="1:13" ht="12.6" customHeight="1">
      <c r="A18" s="434"/>
      <c r="B18" s="430" t="s">
        <v>1582</v>
      </c>
      <c r="C18" s="431"/>
      <c r="D18" s="437"/>
      <c r="E18" s="299">
        <v>0</v>
      </c>
      <c r="F18" s="437"/>
      <c r="G18" s="299">
        <v>0</v>
      </c>
      <c r="H18" s="437"/>
      <c r="I18" s="299">
        <f t="shared" ref="I18:I19" si="0">K18-G18</f>
        <v>0</v>
      </c>
      <c r="J18" s="437"/>
      <c r="K18" s="299"/>
      <c r="L18" s="437"/>
      <c r="M18" s="299">
        <v>1766442</v>
      </c>
    </row>
    <row r="19" spans="1:13" ht="12.6" customHeight="1">
      <c r="A19" s="434"/>
      <c r="B19" s="430" t="s">
        <v>867</v>
      </c>
      <c r="C19" s="431"/>
      <c r="D19" s="437"/>
      <c r="E19" s="299">
        <v>3316000</v>
      </c>
      <c r="F19" s="437"/>
      <c r="G19" s="299">
        <v>0</v>
      </c>
      <c r="H19" s="437"/>
      <c r="I19" s="299">
        <f t="shared" si="0"/>
        <v>0</v>
      </c>
      <c r="J19" s="437"/>
      <c r="K19" s="299"/>
      <c r="L19" s="437"/>
      <c r="M19" s="299"/>
    </row>
    <row r="20" spans="1:13" ht="12.6" customHeight="1">
      <c r="A20" s="434" t="s">
        <v>818</v>
      </c>
      <c r="B20" s="430"/>
      <c r="C20" s="431" t="s">
        <v>819</v>
      </c>
      <c r="D20" s="437"/>
      <c r="E20" s="299">
        <v>0</v>
      </c>
      <c r="F20" s="437"/>
      <c r="G20" s="299">
        <v>0</v>
      </c>
      <c r="H20" s="437"/>
      <c r="I20" s="299">
        <v>0</v>
      </c>
      <c r="J20" s="437"/>
      <c r="K20" s="299">
        <v>0</v>
      </c>
      <c r="L20" s="437"/>
      <c r="M20" s="299">
        <v>0</v>
      </c>
    </row>
    <row r="21" spans="1:13" ht="12.6" customHeight="1">
      <c r="A21" s="1406" t="s">
        <v>14</v>
      </c>
      <c r="B21" s="1407"/>
      <c r="C21" s="438"/>
      <c r="D21" s="439" t="s">
        <v>15</v>
      </c>
      <c r="E21" s="300">
        <f>SUM(E14:E20)</f>
        <v>16784448.23</v>
      </c>
      <c r="F21" s="439" t="s">
        <v>15</v>
      </c>
      <c r="G21" s="300">
        <f>SUM(G14:G20)</f>
        <v>6293734.8399999999</v>
      </c>
      <c r="H21" s="439" t="s">
        <v>15</v>
      </c>
      <c r="I21" s="300">
        <f>SUM(I14:I20)</f>
        <v>3456265.16</v>
      </c>
      <c r="J21" s="439" t="s">
        <v>15</v>
      </c>
      <c r="K21" s="300">
        <f>SUM(K14:K20)</f>
        <v>9750000</v>
      </c>
      <c r="L21" s="439" t="s">
        <v>15</v>
      </c>
      <c r="M21" s="300">
        <f>SUM(M14:M20)</f>
        <v>3930442</v>
      </c>
    </row>
    <row r="22" spans="1:13" ht="12.6" customHeight="1">
      <c r="A22" s="434"/>
      <c r="B22" s="430"/>
      <c r="C22" s="431"/>
      <c r="D22" s="437"/>
      <c r="E22" s="332"/>
      <c r="F22" s="437"/>
      <c r="G22" s="440"/>
      <c r="H22" s="437"/>
      <c r="I22" s="440"/>
      <c r="J22" s="437"/>
      <c r="K22" s="440"/>
      <c r="L22" s="437"/>
      <c r="M22" s="301"/>
    </row>
    <row r="23" spans="1:13" ht="12.6" customHeight="1">
      <c r="A23" s="441" t="s">
        <v>22</v>
      </c>
      <c r="B23" s="442"/>
      <c r="C23" s="438"/>
      <c r="D23" s="437"/>
      <c r="E23" s="332"/>
      <c r="F23" s="437"/>
      <c r="G23" s="440"/>
      <c r="H23" s="437"/>
      <c r="I23" s="440"/>
      <c r="J23" s="437"/>
      <c r="K23" s="440"/>
      <c r="L23" s="437"/>
      <c r="M23" s="440"/>
    </row>
    <row r="24" spans="1:13" ht="12.6" customHeight="1">
      <c r="A24" s="434" t="s">
        <v>790</v>
      </c>
      <c r="B24" s="430"/>
      <c r="C24" s="443"/>
      <c r="D24" s="444"/>
      <c r="E24" s="333"/>
      <c r="F24" s="434"/>
      <c r="G24" s="430"/>
      <c r="H24" s="434"/>
      <c r="I24" s="430"/>
      <c r="J24" s="434"/>
      <c r="K24" s="430"/>
      <c r="L24" s="444"/>
      <c r="M24" s="430"/>
    </row>
    <row r="25" spans="1:13" ht="12.6" customHeight="1">
      <c r="A25" s="434" t="s">
        <v>1407</v>
      </c>
      <c r="B25" s="430"/>
      <c r="C25" s="431"/>
      <c r="D25" s="445"/>
      <c r="E25" s="26">
        <v>0</v>
      </c>
      <c r="F25" s="445"/>
      <c r="G25" s="26">
        <v>0</v>
      </c>
      <c r="H25" s="445"/>
      <c r="I25" s="299">
        <f t="shared" ref="I25" si="1">K25-G25</f>
        <v>0</v>
      </c>
      <c r="J25" s="445"/>
      <c r="K25" s="26">
        <v>0</v>
      </c>
      <c r="L25" s="445"/>
      <c r="M25" s="26">
        <v>0</v>
      </c>
    </row>
    <row r="26" spans="1:13" ht="12.6" customHeight="1">
      <c r="A26" s="434" t="s">
        <v>600</v>
      </c>
      <c r="B26" s="430"/>
      <c r="C26" s="431"/>
      <c r="D26" s="445"/>
      <c r="E26" s="26"/>
      <c r="F26" s="445"/>
      <c r="G26" s="26"/>
      <c r="H26" s="445"/>
      <c r="I26" s="26"/>
      <c r="J26" s="445"/>
      <c r="K26" s="26"/>
      <c r="L26" s="445"/>
      <c r="M26" s="26"/>
    </row>
    <row r="27" spans="1:13" ht="12.6" customHeight="1">
      <c r="A27" s="434" t="s">
        <v>520</v>
      </c>
      <c r="B27" s="430" t="s">
        <v>539</v>
      </c>
      <c r="C27" s="431" t="s">
        <v>126</v>
      </c>
      <c r="D27" s="445"/>
      <c r="E27" s="26">
        <v>0</v>
      </c>
      <c r="F27" s="445"/>
      <c r="G27" s="26">
        <v>27000</v>
      </c>
      <c r="H27" s="445"/>
      <c r="I27" s="299">
        <f>K27-G27</f>
        <v>3000</v>
      </c>
      <c r="J27" s="445"/>
      <c r="K27" s="26">
        <v>30000</v>
      </c>
      <c r="L27" s="445"/>
      <c r="M27" s="26">
        <v>30000</v>
      </c>
    </row>
    <row r="28" spans="1:13" ht="12.6" customHeight="1">
      <c r="A28" s="434"/>
      <c r="B28" s="430" t="s">
        <v>522</v>
      </c>
      <c r="C28" s="431" t="s">
        <v>129</v>
      </c>
      <c r="D28" s="445"/>
      <c r="E28" s="26">
        <v>0</v>
      </c>
      <c r="F28" s="445"/>
      <c r="G28" s="26">
        <v>0</v>
      </c>
      <c r="H28" s="445"/>
      <c r="I28" s="299">
        <f>K28-G28</f>
        <v>20000</v>
      </c>
      <c r="J28" s="445"/>
      <c r="K28" s="26">
        <v>20000</v>
      </c>
      <c r="L28" s="445"/>
      <c r="M28" s="26">
        <v>20000</v>
      </c>
    </row>
    <row r="29" spans="1:13" ht="12.6" customHeight="1">
      <c r="A29" s="434"/>
      <c r="B29" s="430" t="s">
        <v>523</v>
      </c>
      <c r="C29" s="435" t="s">
        <v>174</v>
      </c>
      <c r="D29" s="445"/>
      <c r="E29" s="26">
        <v>0</v>
      </c>
      <c r="F29" s="445"/>
      <c r="G29" s="26">
        <v>44169</v>
      </c>
      <c r="H29" s="445"/>
      <c r="I29" s="299">
        <f>K29-G29</f>
        <v>5831</v>
      </c>
      <c r="J29" s="445"/>
      <c r="K29" s="26">
        <v>50000</v>
      </c>
      <c r="L29" s="445"/>
      <c r="M29" s="26">
        <v>50000</v>
      </c>
    </row>
    <row r="30" spans="1:13" ht="12.6" customHeight="1">
      <c r="A30" s="434"/>
      <c r="B30" s="430" t="s">
        <v>781</v>
      </c>
      <c r="C30" s="431" t="s">
        <v>137</v>
      </c>
      <c r="D30" s="445"/>
      <c r="E30" s="26">
        <v>0</v>
      </c>
      <c r="F30" s="445"/>
      <c r="G30" s="26">
        <v>0</v>
      </c>
      <c r="H30" s="445"/>
      <c r="I30" s="299">
        <f>K30-G30</f>
        <v>50000</v>
      </c>
      <c r="J30" s="445"/>
      <c r="K30" s="26">
        <v>50000</v>
      </c>
      <c r="L30" s="445"/>
      <c r="M30" s="26">
        <v>50000</v>
      </c>
    </row>
    <row r="31" spans="1:13" ht="12.6" customHeight="1">
      <c r="A31" s="434"/>
      <c r="B31" s="430" t="s">
        <v>524</v>
      </c>
      <c r="C31" s="431" t="s">
        <v>148</v>
      </c>
      <c r="D31" s="445"/>
      <c r="E31" s="26"/>
      <c r="F31" s="445"/>
      <c r="G31" s="26"/>
      <c r="H31" s="445"/>
      <c r="I31" s="26"/>
      <c r="J31" s="445"/>
      <c r="K31" s="26"/>
      <c r="L31" s="445"/>
      <c r="M31" s="26"/>
    </row>
    <row r="32" spans="1:13" ht="12.6" customHeight="1">
      <c r="A32" s="434"/>
      <c r="B32" s="430" t="s">
        <v>770</v>
      </c>
      <c r="C32" s="431"/>
      <c r="D32" s="445"/>
      <c r="E32" s="26">
        <v>0</v>
      </c>
      <c r="F32" s="445"/>
      <c r="G32" s="26">
        <v>0</v>
      </c>
      <c r="H32" s="445"/>
      <c r="I32" s="299">
        <f t="shared" ref="I32:I35" si="2">K32-G32</f>
        <v>150000</v>
      </c>
      <c r="J32" s="445"/>
      <c r="K32" s="26">
        <v>150000</v>
      </c>
      <c r="L32" s="445"/>
      <c r="M32" s="26">
        <v>150000</v>
      </c>
    </row>
    <row r="33" spans="1:13" ht="12.6" customHeight="1">
      <c r="A33" s="434"/>
      <c r="B33" s="430" t="s">
        <v>526</v>
      </c>
      <c r="C33" s="431"/>
      <c r="D33" s="445"/>
      <c r="E33" s="26">
        <v>0</v>
      </c>
      <c r="F33" s="445"/>
      <c r="G33" s="26">
        <v>100000</v>
      </c>
      <c r="H33" s="445"/>
      <c r="I33" s="299">
        <f t="shared" si="2"/>
        <v>0</v>
      </c>
      <c r="J33" s="445"/>
      <c r="K33" s="26">
        <v>100000</v>
      </c>
      <c r="L33" s="445"/>
      <c r="M33" s="26">
        <v>100000</v>
      </c>
    </row>
    <row r="34" spans="1:13" ht="12.6" customHeight="1">
      <c r="A34" s="434"/>
      <c r="B34" s="430" t="s">
        <v>542</v>
      </c>
      <c r="C34" s="431"/>
      <c r="D34" s="445"/>
      <c r="E34" s="26">
        <v>0</v>
      </c>
      <c r="F34" s="445"/>
      <c r="G34" s="26">
        <v>23000</v>
      </c>
      <c r="H34" s="445"/>
      <c r="I34" s="299">
        <f t="shared" si="2"/>
        <v>27000</v>
      </c>
      <c r="J34" s="445"/>
      <c r="K34" s="26">
        <v>50000</v>
      </c>
      <c r="L34" s="445"/>
      <c r="M34" s="26">
        <v>50000</v>
      </c>
    </row>
    <row r="35" spans="1:13" ht="12.6" customHeight="1">
      <c r="A35" s="434"/>
      <c r="B35" s="430" t="s">
        <v>527</v>
      </c>
      <c r="C35" s="431"/>
      <c r="D35" s="445"/>
      <c r="E35" s="26">
        <v>0</v>
      </c>
      <c r="F35" s="445"/>
      <c r="G35" s="26">
        <v>40000</v>
      </c>
      <c r="H35" s="445"/>
      <c r="I35" s="299">
        <f t="shared" si="2"/>
        <v>10000</v>
      </c>
      <c r="J35" s="445"/>
      <c r="K35" s="26">
        <v>50000</v>
      </c>
      <c r="L35" s="445"/>
      <c r="M35" s="26">
        <v>50000</v>
      </c>
    </row>
    <row r="36" spans="1:13" ht="12.6" customHeight="1">
      <c r="A36" s="434" t="s">
        <v>1408</v>
      </c>
      <c r="B36" s="430"/>
      <c r="C36" s="431"/>
      <c r="D36" s="445"/>
      <c r="E36" s="26"/>
      <c r="F36" s="445"/>
      <c r="G36" s="26"/>
      <c r="H36" s="445"/>
      <c r="I36" s="299"/>
      <c r="J36" s="445"/>
      <c r="K36" s="26"/>
      <c r="L36" s="445"/>
      <c r="M36" s="26"/>
    </row>
    <row r="37" spans="1:13" ht="12.6" customHeight="1">
      <c r="A37" s="434" t="s">
        <v>603</v>
      </c>
      <c r="B37" s="430"/>
      <c r="C37" s="431"/>
      <c r="D37" s="445"/>
      <c r="E37" s="26"/>
      <c r="F37" s="445"/>
      <c r="G37" s="26"/>
      <c r="H37" s="445"/>
      <c r="I37" s="26"/>
      <c r="J37" s="445"/>
      <c r="K37" s="26"/>
      <c r="L37" s="445"/>
      <c r="M37" s="26"/>
    </row>
    <row r="38" spans="1:13" ht="12.6" customHeight="1">
      <c r="A38" s="434" t="s">
        <v>520</v>
      </c>
      <c r="B38" s="430" t="s">
        <v>539</v>
      </c>
      <c r="C38" s="431" t="s">
        <v>126</v>
      </c>
      <c r="D38" s="445"/>
      <c r="E38" s="26">
        <v>0</v>
      </c>
      <c r="F38" s="445"/>
      <c r="G38" s="26">
        <v>44000</v>
      </c>
      <c r="H38" s="445"/>
      <c r="I38" s="299">
        <f>K38-G38</f>
        <v>6000</v>
      </c>
      <c r="J38" s="445"/>
      <c r="K38" s="26">
        <v>50000</v>
      </c>
      <c r="L38" s="445"/>
      <c r="M38" s="26">
        <v>50000</v>
      </c>
    </row>
    <row r="39" spans="1:13" ht="12.6" customHeight="1">
      <c r="A39" s="434"/>
      <c r="B39" s="430" t="s">
        <v>522</v>
      </c>
      <c r="C39" s="431" t="s">
        <v>129</v>
      </c>
      <c r="D39" s="445"/>
      <c r="E39" s="26">
        <v>0</v>
      </c>
      <c r="F39" s="445"/>
      <c r="G39" s="26">
        <v>0</v>
      </c>
      <c r="H39" s="445"/>
      <c r="I39" s="299">
        <f t="shared" ref="I39:I41" si="3">K39-G39</f>
        <v>50000</v>
      </c>
      <c r="J39" s="445"/>
      <c r="K39" s="26">
        <v>50000</v>
      </c>
      <c r="L39" s="445"/>
      <c r="M39" s="26">
        <v>60000</v>
      </c>
    </row>
    <row r="40" spans="1:13" ht="12.6" customHeight="1">
      <c r="A40" s="434"/>
      <c r="B40" s="430" t="s">
        <v>523</v>
      </c>
      <c r="C40" s="446" t="s">
        <v>174</v>
      </c>
      <c r="D40" s="445"/>
      <c r="E40" s="26">
        <v>20000</v>
      </c>
      <c r="F40" s="445"/>
      <c r="G40" s="26">
        <v>50000</v>
      </c>
      <c r="H40" s="445"/>
      <c r="I40" s="299">
        <f t="shared" si="3"/>
        <v>0</v>
      </c>
      <c r="J40" s="445"/>
      <c r="K40" s="26">
        <v>50000</v>
      </c>
      <c r="L40" s="445"/>
      <c r="M40" s="26">
        <v>180000</v>
      </c>
    </row>
    <row r="41" spans="1:13" ht="12.6" customHeight="1">
      <c r="A41" s="434"/>
      <c r="B41" s="430" t="s">
        <v>541</v>
      </c>
      <c r="C41" s="446" t="s">
        <v>137</v>
      </c>
      <c r="D41" s="445"/>
      <c r="E41" s="26">
        <v>10000</v>
      </c>
      <c r="F41" s="445"/>
      <c r="G41" s="26">
        <v>50000</v>
      </c>
      <c r="H41" s="445"/>
      <c r="I41" s="299">
        <f t="shared" si="3"/>
        <v>0</v>
      </c>
      <c r="J41" s="445"/>
      <c r="K41" s="26">
        <v>50000</v>
      </c>
      <c r="L41" s="445"/>
      <c r="M41" s="26">
        <v>70000</v>
      </c>
    </row>
    <row r="42" spans="1:13" ht="12.6" customHeight="1">
      <c r="A42" s="434"/>
      <c r="B42" s="430" t="s">
        <v>524</v>
      </c>
      <c r="C42" s="431" t="s">
        <v>148</v>
      </c>
      <c r="D42" s="445"/>
      <c r="E42" s="26"/>
      <c r="F42" s="445"/>
      <c r="G42" s="26"/>
      <c r="H42" s="445"/>
      <c r="I42" s="26"/>
      <c r="J42" s="445"/>
      <c r="K42" s="26"/>
      <c r="L42" s="445"/>
      <c r="M42" s="26"/>
    </row>
    <row r="43" spans="1:13" ht="12.6" customHeight="1">
      <c r="A43" s="434"/>
      <c r="B43" s="430" t="s">
        <v>770</v>
      </c>
      <c r="C43" s="431"/>
      <c r="D43" s="445"/>
      <c r="E43" s="26">
        <v>40000</v>
      </c>
      <c r="F43" s="445"/>
      <c r="G43" s="26">
        <v>76388</v>
      </c>
      <c r="H43" s="445"/>
      <c r="I43" s="299">
        <f t="shared" ref="I43:I47" si="4">K43-G43</f>
        <v>173612</v>
      </c>
      <c r="J43" s="445"/>
      <c r="K43" s="26">
        <v>250000</v>
      </c>
      <c r="L43" s="445"/>
      <c r="M43" s="26">
        <v>300000</v>
      </c>
    </row>
    <row r="44" spans="1:13" ht="12.6" customHeight="1">
      <c r="A44" s="434"/>
      <c r="B44" s="430" t="s">
        <v>526</v>
      </c>
      <c r="C44" s="431"/>
      <c r="D44" s="445"/>
      <c r="E44" s="26">
        <v>0</v>
      </c>
      <c r="F44" s="445"/>
      <c r="G44" s="26">
        <v>100000</v>
      </c>
      <c r="H44" s="445"/>
      <c r="I44" s="299">
        <f t="shared" si="4"/>
        <v>0</v>
      </c>
      <c r="J44" s="445"/>
      <c r="K44" s="26">
        <v>100000</v>
      </c>
      <c r="L44" s="445"/>
      <c r="M44" s="26">
        <v>110000</v>
      </c>
    </row>
    <row r="45" spans="1:13" ht="12.6" customHeight="1">
      <c r="A45" s="434"/>
      <c r="B45" s="430" t="s">
        <v>542</v>
      </c>
      <c r="C45" s="431"/>
      <c r="D45" s="445"/>
      <c r="E45" s="26">
        <v>1250</v>
      </c>
      <c r="F45" s="445"/>
      <c r="G45" s="26">
        <v>350000</v>
      </c>
      <c r="H45" s="445"/>
      <c r="I45" s="299">
        <f t="shared" si="4"/>
        <v>0</v>
      </c>
      <c r="J45" s="445"/>
      <c r="K45" s="26">
        <v>350000</v>
      </c>
      <c r="L45" s="445"/>
      <c r="M45" s="26">
        <v>630000</v>
      </c>
    </row>
    <row r="46" spans="1:13" ht="12.6" customHeight="1">
      <c r="A46" s="434"/>
      <c r="B46" s="430" t="s">
        <v>527</v>
      </c>
      <c r="C46" s="431"/>
      <c r="D46" s="445"/>
      <c r="E46" s="26">
        <v>20000</v>
      </c>
      <c r="F46" s="445"/>
      <c r="G46" s="26">
        <v>8000</v>
      </c>
      <c r="H46" s="445"/>
      <c r="I46" s="299">
        <f t="shared" si="4"/>
        <v>92000</v>
      </c>
      <c r="J46" s="445"/>
      <c r="K46" s="26">
        <v>100000</v>
      </c>
      <c r="L46" s="445"/>
      <c r="M46" s="26">
        <v>100000</v>
      </c>
    </row>
    <row r="47" spans="1:13" ht="12.6" customHeight="1">
      <c r="A47" s="434"/>
      <c r="B47" s="430" t="s">
        <v>1384</v>
      </c>
      <c r="C47" s="431"/>
      <c r="D47" s="445"/>
      <c r="E47" s="26">
        <v>30000</v>
      </c>
      <c r="F47" s="445"/>
      <c r="G47" s="26">
        <v>0</v>
      </c>
      <c r="H47" s="445"/>
      <c r="I47" s="299">
        <f t="shared" si="4"/>
        <v>0</v>
      </c>
      <c r="J47" s="445"/>
      <c r="K47" s="26">
        <v>0</v>
      </c>
      <c r="L47" s="445"/>
      <c r="M47" s="26">
        <v>0</v>
      </c>
    </row>
    <row r="48" spans="1:13" ht="12.6" customHeight="1">
      <c r="A48" s="434" t="s">
        <v>530</v>
      </c>
      <c r="B48" s="430"/>
      <c r="C48" s="431"/>
      <c r="D48" s="445"/>
      <c r="E48" s="26"/>
      <c r="F48" s="445"/>
      <c r="G48" s="26"/>
      <c r="H48" s="445"/>
      <c r="I48" s="26"/>
      <c r="J48" s="445"/>
      <c r="K48" s="26"/>
      <c r="L48" s="445"/>
      <c r="M48" s="26"/>
    </row>
    <row r="49" spans="1:13" ht="12.6" customHeight="1">
      <c r="A49" s="434" t="s">
        <v>604</v>
      </c>
      <c r="B49" s="430"/>
      <c r="C49" s="431"/>
      <c r="D49" s="445"/>
      <c r="E49" s="26"/>
      <c r="F49" s="445"/>
      <c r="G49" s="26"/>
      <c r="H49" s="445"/>
      <c r="I49" s="299"/>
      <c r="J49" s="445"/>
      <c r="K49" s="26"/>
      <c r="L49" s="445"/>
      <c r="M49" s="26"/>
    </row>
    <row r="50" spans="1:13" ht="12.6" customHeight="1">
      <c r="A50" s="434" t="s">
        <v>603</v>
      </c>
      <c r="B50" s="430"/>
      <c r="C50" s="431"/>
      <c r="D50" s="445"/>
      <c r="E50" s="26"/>
      <c r="F50" s="445"/>
      <c r="G50" s="26"/>
      <c r="H50" s="445"/>
      <c r="I50" s="26"/>
      <c r="J50" s="445"/>
      <c r="K50" s="26"/>
      <c r="L50" s="445"/>
      <c r="M50" s="26"/>
    </row>
    <row r="51" spans="1:13" ht="12.6" customHeight="1">
      <c r="A51" s="434"/>
      <c r="B51" s="430" t="s">
        <v>539</v>
      </c>
      <c r="C51" s="431" t="s">
        <v>126</v>
      </c>
      <c r="D51" s="445"/>
      <c r="E51" s="26">
        <v>40500</v>
      </c>
      <c r="F51" s="445"/>
      <c r="G51" s="26">
        <v>21600</v>
      </c>
      <c r="H51" s="445"/>
      <c r="I51" s="299">
        <f t="shared" ref="I51:I56" si="5">K51-G51</f>
        <v>38400</v>
      </c>
      <c r="J51" s="445"/>
      <c r="K51" s="26">
        <v>60000</v>
      </c>
      <c r="L51" s="445"/>
      <c r="M51" s="26">
        <v>80000</v>
      </c>
    </row>
    <row r="52" spans="1:13" ht="12.6" customHeight="1">
      <c r="A52" s="434"/>
      <c r="B52" s="430" t="s">
        <v>538</v>
      </c>
      <c r="C52" s="431" t="s">
        <v>127</v>
      </c>
      <c r="D52" s="445"/>
      <c r="E52" s="26">
        <v>602100</v>
      </c>
      <c r="F52" s="445"/>
      <c r="G52" s="26">
        <v>198400</v>
      </c>
      <c r="H52" s="445"/>
      <c r="I52" s="299">
        <f t="shared" si="5"/>
        <v>693600</v>
      </c>
      <c r="J52" s="445"/>
      <c r="K52" s="26">
        <v>892000</v>
      </c>
      <c r="L52" s="445"/>
      <c r="M52" s="26">
        <v>700000</v>
      </c>
    </row>
    <row r="53" spans="1:13" ht="12.6" customHeight="1">
      <c r="A53" s="434"/>
      <c r="B53" s="430" t="s">
        <v>537</v>
      </c>
      <c r="C53" s="431" t="s">
        <v>128</v>
      </c>
      <c r="D53" s="445"/>
      <c r="E53" s="26">
        <v>17902</v>
      </c>
      <c r="F53" s="445"/>
      <c r="G53" s="26">
        <v>0</v>
      </c>
      <c r="H53" s="445"/>
      <c r="I53" s="299">
        <f t="shared" si="5"/>
        <v>30000</v>
      </c>
      <c r="J53" s="445"/>
      <c r="K53" s="26">
        <v>30000</v>
      </c>
      <c r="L53" s="445"/>
      <c r="M53" s="26">
        <v>50000</v>
      </c>
    </row>
    <row r="54" spans="1:13" ht="12.6" customHeight="1">
      <c r="A54" s="434"/>
      <c r="B54" s="430" t="s">
        <v>536</v>
      </c>
      <c r="C54" s="431" t="s">
        <v>129</v>
      </c>
      <c r="D54" s="445"/>
      <c r="E54" s="26">
        <v>2155.1999999999998</v>
      </c>
      <c r="F54" s="445"/>
      <c r="G54" s="26">
        <v>0</v>
      </c>
      <c r="H54" s="445"/>
      <c r="I54" s="299">
        <f t="shared" si="5"/>
        <v>40000</v>
      </c>
      <c r="J54" s="445"/>
      <c r="K54" s="26">
        <v>40000</v>
      </c>
      <c r="L54" s="445"/>
      <c r="M54" s="26">
        <v>50000</v>
      </c>
    </row>
    <row r="55" spans="1:13" ht="12.6" customHeight="1">
      <c r="A55" s="434"/>
      <c r="B55" s="430" t="s">
        <v>776</v>
      </c>
      <c r="C55" s="431" t="s">
        <v>174</v>
      </c>
      <c r="D55" s="445"/>
      <c r="E55" s="26">
        <v>0</v>
      </c>
      <c r="F55" s="445"/>
      <c r="G55" s="26">
        <v>0</v>
      </c>
      <c r="H55" s="445"/>
      <c r="I55" s="299">
        <f t="shared" si="5"/>
        <v>0</v>
      </c>
      <c r="J55" s="445"/>
      <c r="K55" s="26">
        <v>0</v>
      </c>
      <c r="L55" s="445"/>
      <c r="M55" s="26">
        <v>10000</v>
      </c>
    </row>
    <row r="56" spans="1:13" ht="12.6" customHeight="1">
      <c r="A56" s="434"/>
      <c r="B56" s="430" t="s">
        <v>535</v>
      </c>
      <c r="C56" s="446" t="s">
        <v>354</v>
      </c>
      <c r="D56" s="445"/>
      <c r="E56" s="26">
        <v>40000</v>
      </c>
      <c r="F56" s="445"/>
      <c r="G56" s="26">
        <v>0</v>
      </c>
      <c r="H56" s="445"/>
      <c r="I56" s="299">
        <f t="shared" si="5"/>
        <v>40000</v>
      </c>
      <c r="J56" s="445"/>
      <c r="K56" s="26">
        <v>40000</v>
      </c>
      <c r="L56" s="445"/>
      <c r="M56" s="26">
        <v>40000</v>
      </c>
    </row>
    <row r="57" spans="1:13" ht="12.6" customHeight="1">
      <c r="A57" s="434"/>
      <c r="B57" s="430" t="s">
        <v>540</v>
      </c>
      <c r="C57" s="431" t="s">
        <v>148</v>
      </c>
      <c r="D57" s="445"/>
      <c r="E57" s="26"/>
      <c r="F57" s="445"/>
      <c r="G57" s="26"/>
      <c r="H57" s="445"/>
      <c r="I57" s="26"/>
      <c r="J57" s="445"/>
      <c r="K57" s="26"/>
      <c r="L57" s="445"/>
      <c r="M57" s="26"/>
    </row>
    <row r="58" spans="1:13" ht="12.6" customHeight="1">
      <c r="A58" s="434"/>
      <c r="B58" s="430" t="s">
        <v>546</v>
      </c>
      <c r="C58" s="431"/>
      <c r="D58" s="445"/>
      <c r="E58" s="26"/>
      <c r="F58" s="445"/>
      <c r="G58" s="26"/>
      <c r="H58" s="445"/>
      <c r="I58" s="26"/>
      <c r="J58" s="445"/>
      <c r="K58" s="26"/>
      <c r="L58" s="445"/>
      <c r="M58" s="26"/>
    </row>
    <row r="59" spans="1:13" ht="12.6" customHeight="1">
      <c r="A59" s="434"/>
      <c r="B59" s="430" t="s">
        <v>547</v>
      </c>
      <c r="C59" s="431"/>
      <c r="D59" s="445"/>
      <c r="E59" s="26">
        <v>31050</v>
      </c>
      <c r="F59" s="445"/>
      <c r="G59" s="26">
        <v>14000</v>
      </c>
      <c r="H59" s="445"/>
      <c r="I59" s="299">
        <f>K59-G59</f>
        <v>32000</v>
      </c>
      <c r="J59" s="445"/>
      <c r="K59" s="26">
        <v>46000</v>
      </c>
      <c r="L59" s="445"/>
      <c r="M59" s="26">
        <v>50000</v>
      </c>
    </row>
    <row r="60" spans="1:13" ht="12.6" customHeight="1">
      <c r="A60" s="434"/>
      <c r="B60" s="430" t="s">
        <v>649</v>
      </c>
      <c r="C60" s="431"/>
      <c r="D60" s="445"/>
      <c r="E60" s="26"/>
      <c r="F60" s="445"/>
      <c r="G60" s="26"/>
      <c r="H60" s="445"/>
      <c r="I60" s="26"/>
      <c r="J60" s="445"/>
      <c r="K60" s="26"/>
      <c r="L60" s="445"/>
      <c r="M60" s="26"/>
    </row>
    <row r="61" spans="1:13" ht="12.6" customHeight="1">
      <c r="A61" s="434"/>
      <c r="B61" s="430" t="s">
        <v>548</v>
      </c>
      <c r="C61" s="431"/>
      <c r="D61" s="445"/>
      <c r="E61" s="26">
        <v>135000</v>
      </c>
      <c r="F61" s="445"/>
      <c r="G61" s="26">
        <v>0</v>
      </c>
      <c r="H61" s="445"/>
      <c r="I61" s="299">
        <f>K61-G61</f>
        <v>200000</v>
      </c>
      <c r="J61" s="445"/>
      <c r="K61" s="26">
        <v>200000</v>
      </c>
      <c r="L61" s="445"/>
      <c r="M61" s="26">
        <v>200000</v>
      </c>
    </row>
    <row r="62" spans="1:13" ht="12.6" customHeight="1">
      <c r="A62" s="434"/>
      <c r="B62" s="430" t="s">
        <v>650</v>
      </c>
      <c r="C62" s="431"/>
      <c r="D62" s="445"/>
      <c r="E62" s="26"/>
      <c r="F62" s="445"/>
      <c r="G62" s="26"/>
      <c r="H62" s="445"/>
      <c r="I62" s="26"/>
      <c r="J62" s="445"/>
      <c r="K62" s="26"/>
      <c r="L62" s="445"/>
      <c r="M62" s="26"/>
    </row>
    <row r="63" spans="1:13" ht="12.6" customHeight="1">
      <c r="A63" s="434"/>
      <c r="B63" s="430" t="s">
        <v>548</v>
      </c>
      <c r="C63" s="431"/>
      <c r="D63" s="445"/>
      <c r="E63" s="26">
        <v>15500</v>
      </c>
      <c r="F63" s="445"/>
      <c r="G63" s="26">
        <v>0</v>
      </c>
      <c r="H63" s="445"/>
      <c r="I63" s="299">
        <f>K63-G63</f>
        <v>30000</v>
      </c>
      <c r="J63" s="445"/>
      <c r="K63" s="26">
        <v>30000</v>
      </c>
      <c r="L63" s="445"/>
      <c r="M63" s="26">
        <v>50000</v>
      </c>
    </row>
    <row r="64" spans="1:13" ht="12.6" customHeight="1">
      <c r="A64" s="447"/>
      <c r="B64" s="905" t="s">
        <v>651</v>
      </c>
      <c r="C64" s="457"/>
      <c r="D64" s="450"/>
      <c r="E64" s="31"/>
      <c r="F64" s="450"/>
      <c r="G64" s="31"/>
      <c r="H64" s="450"/>
      <c r="I64" s="31"/>
      <c r="J64" s="450"/>
      <c r="K64" s="31"/>
      <c r="L64" s="450"/>
      <c r="M64" s="31"/>
    </row>
    <row r="65" spans="1:13" ht="12.6" customHeight="1">
      <c r="A65" s="434"/>
      <c r="B65" s="451" t="s">
        <v>548</v>
      </c>
      <c r="C65" s="443"/>
      <c r="D65" s="445"/>
      <c r="E65" s="26">
        <v>17710</v>
      </c>
      <c r="F65" s="445"/>
      <c r="G65" s="26">
        <v>4200</v>
      </c>
      <c r="H65" s="445"/>
      <c r="I65" s="299">
        <f>K65-G65</f>
        <v>25800</v>
      </c>
      <c r="J65" s="445"/>
      <c r="K65" s="26">
        <v>30000</v>
      </c>
      <c r="L65" s="445"/>
      <c r="M65" s="26">
        <v>50000</v>
      </c>
    </row>
    <row r="66" spans="1:13" ht="12.6" customHeight="1">
      <c r="A66" s="434"/>
      <c r="B66" s="451" t="s">
        <v>546</v>
      </c>
      <c r="C66" s="443"/>
      <c r="D66" s="445"/>
      <c r="E66" s="26"/>
      <c r="F66" s="445"/>
      <c r="G66" s="26"/>
      <c r="H66" s="445"/>
      <c r="I66" s="26"/>
      <c r="J66" s="445"/>
      <c r="K66" s="26"/>
      <c r="L66" s="445"/>
      <c r="M66" s="26"/>
    </row>
    <row r="67" spans="1:13" ht="12" customHeight="1">
      <c r="A67" s="434"/>
      <c r="B67" s="451" t="s">
        <v>549</v>
      </c>
      <c r="C67" s="443"/>
      <c r="D67" s="445"/>
      <c r="E67" s="26">
        <v>14943</v>
      </c>
      <c r="F67" s="445"/>
      <c r="G67" s="26">
        <v>0</v>
      </c>
      <c r="H67" s="445"/>
      <c r="I67" s="299">
        <f>K67-G67</f>
        <v>30000</v>
      </c>
      <c r="J67" s="445"/>
      <c r="K67" s="26">
        <v>30000</v>
      </c>
      <c r="L67" s="445"/>
      <c r="M67" s="26">
        <v>40000</v>
      </c>
    </row>
    <row r="68" spans="1:13" ht="12.6" customHeight="1">
      <c r="A68" s="434"/>
      <c r="B68" s="451" t="s">
        <v>526</v>
      </c>
      <c r="C68" s="443"/>
      <c r="D68" s="445"/>
      <c r="E68" s="26">
        <v>480000</v>
      </c>
      <c r="F68" s="445"/>
      <c r="G68" s="26">
        <v>240000</v>
      </c>
      <c r="H68" s="445"/>
      <c r="I68" s="299">
        <f>K68-G68</f>
        <v>240000</v>
      </c>
      <c r="J68" s="445"/>
      <c r="K68" s="26">
        <v>480000</v>
      </c>
      <c r="L68" s="445"/>
      <c r="M68" s="26">
        <v>480000</v>
      </c>
    </row>
    <row r="69" spans="1:13" ht="12.6" customHeight="1">
      <c r="A69" s="434"/>
      <c r="B69" s="451" t="s">
        <v>1348</v>
      </c>
      <c r="C69" s="443"/>
      <c r="D69" s="445"/>
      <c r="E69" s="26">
        <v>0</v>
      </c>
      <c r="F69" s="445"/>
      <c r="G69" s="26">
        <v>0</v>
      </c>
      <c r="H69" s="445"/>
      <c r="I69" s="299">
        <f>K69-G69</f>
        <v>0</v>
      </c>
      <c r="J69" s="445"/>
      <c r="K69" s="26">
        <v>0</v>
      </c>
      <c r="L69" s="445"/>
      <c r="M69" s="26">
        <v>200000</v>
      </c>
    </row>
    <row r="70" spans="1:13" ht="12.6" customHeight="1">
      <c r="A70" s="434" t="s">
        <v>771</v>
      </c>
      <c r="B70" s="430"/>
      <c r="C70" s="431"/>
      <c r="D70" s="445"/>
      <c r="E70" s="26"/>
      <c r="F70" s="445"/>
      <c r="G70" s="26"/>
      <c r="H70" s="445"/>
      <c r="I70" s="299"/>
      <c r="J70" s="445"/>
      <c r="K70" s="26"/>
      <c r="L70" s="445"/>
      <c r="M70" s="26"/>
    </row>
    <row r="71" spans="1:13" ht="12.6" customHeight="1">
      <c r="A71" s="434" t="s">
        <v>772</v>
      </c>
      <c r="B71" s="430"/>
      <c r="C71" s="431"/>
      <c r="D71" s="445"/>
      <c r="E71" s="26"/>
      <c r="F71" s="445"/>
      <c r="G71" s="26"/>
      <c r="H71" s="445"/>
      <c r="I71" s="299"/>
      <c r="J71" s="445"/>
      <c r="K71" s="26"/>
      <c r="L71" s="445"/>
      <c r="M71" s="26"/>
    </row>
    <row r="72" spans="1:13" ht="12.6" customHeight="1">
      <c r="A72" s="434" t="s">
        <v>773</v>
      </c>
      <c r="B72" s="430"/>
      <c r="C72" s="431"/>
      <c r="D72" s="445"/>
      <c r="E72" s="26"/>
      <c r="F72" s="445"/>
      <c r="G72" s="26"/>
      <c r="H72" s="445"/>
      <c r="I72" s="299"/>
      <c r="J72" s="445"/>
      <c r="K72" s="26"/>
      <c r="L72" s="445"/>
      <c r="M72" s="26"/>
    </row>
    <row r="73" spans="1:13" ht="12.6" customHeight="1">
      <c r="A73" s="434" t="s">
        <v>603</v>
      </c>
      <c r="B73" s="430"/>
      <c r="C73" s="431"/>
      <c r="D73" s="445"/>
      <c r="E73" s="26"/>
      <c r="F73" s="445"/>
      <c r="G73" s="26"/>
      <c r="H73" s="445"/>
      <c r="I73" s="26"/>
      <c r="J73" s="445"/>
      <c r="K73" s="26"/>
      <c r="L73" s="445"/>
      <c r="M73" s="26"/>
    </row>
    <row r="74" spans="1:13" ht="12.6" customHeight="1">
      <c r="A74" s="434"/>
      <c r="B74" s="430" t="s">
        <v>776</v>
      </c>
      <c r="C74" s="431" t="s">
        <v>174</v>
      </c>
      <c r="D74" s="445"/>
      <c r="E74" s="26">
        <v>295400</v>
      </c>
      <c r="F74" s="445"/>
      <c r="G74" s="26">
        <v>0</v>
      </c>
      <c r="H74" s="445"/>
      <c r="I74" s="299">
        <f t="shared" ref="I74:I78" si="6">K74-G74</f>
        <v>0</v>
      </c>
      <c r="J74" s="445"/>
      <c r="K74" s="26">
        <v>0</v>
      </c>
      <c r="L74" s="445"/>
      <c r="M74" s="26">
        <v>0</v>
      </c>
    </row>
    <row r="75" spans="1:13" ht="12.6" customHeight="1">
      <c r="A75" s="434"/>
      <c r="B75" s="430" t="s">
        <v>540</v>
      </c>
      <c r="C75" s="431" t="s">
        <v>148</v>
      </c>
      <c r="D75" s="445"/>
      <c r="E75" s="26"/>
      <c r="F75" s="445"/>
      <c r="G75" s="26"/>
      <c r="H75" s="445"/>
      <c r="I75" s="299"/>
      <c r="J75" s="445"/>
      <c r="K75" s="26"/>
      <c r="L75" s="445"/>
      <c r="M75" s="26"/>
    </row>
    <row r="76" spans="1:13" ht="12.6" customHeight="1">
      <c r="A76" s="434"/>
      <c r="B76" s="430" t="s">
        <v>774</v>
      </c>
      <c r="C76" s="431"/>
      <c r="D76" s="445"/>
      <c r="E76" s="26">
        <v>54400</v>
      </c>
      <c r="F76" s="445"/>
      <c r="G76" s="26">
        <v>38700</v>
      </c>
      <c r="H76" s="445"/>
      <c r="I76" s="299">
        <f t="shared" si="6"/>
        <v>51300</v>
      </c>
      <c r="J76" s="445"/>
      <c r="K76" s="26">
        <v>90000</v>
      </c>
      <c r="L76" s="445"/>
      <c r="M76" s="26">
        <v>90000</v>
      </c>
    </row>
    <row r="77" spans="1:13" ht="12.6" customHeight="1">
      <c r="A77" s="434"/>
      <c r="B77" s="430" t="s">
        <v>526</v>
      </c>
      <c r="C77" s="431"/>
      <c r="D77" s="445"/>
      <c r="E77" s="26">
        <v>596246</v>
      </c>
      <c r="F77" s="445"/>
      <c r="G77" s="26">
        <v>204500</v>
      </c>
      <c r="H77" s="445"/>
      <c r="I77" s="299">
        <f t="shared" si="6"/>
        <v>615500</v>
      </c>
      <c r="J77" s="445"/>
      <c r="K77" s="26">
        <v>820000</v>
      </c>
      <c r="L77" s="445"/>
      <c r="M77" s="26">
        <v>600000</v>
      </c>
    </row>
    <row r="78" spans="1:13" ht="12.6" customHeight="1">
      <c r="A78" s="434"/>
      <c r="B78" s="430" t="s">
        <v>1349</v>
      </c>
      <c r="C78" s="431"/>
      <c r="D78" s="445"/>
      <c r="E78" s="26">
        <v>0</v>
      </c>
      <c r="F78" s="445"/>
      <c r="G78" s="26">
        <v>0</v>
      </c>
      <c r="H78" s="445"/>
      <c r="I78" s="299">
        <f t="shared" si="6"/>
        <v>0</v>
      </c>
      <c r="J78" s="445"/>
      <c r="K78" s="26">
        <v>0</v>
      </c>
      <c r="L78" s="445"/>
      <c r="M78" s="26">
        <v>340000</v>
      </c>
    </row>
    <row r="79" spans="1:13" ht="12.6" customHeight="1">
      <c r="A79" s="434" t="s">
        <v>775</v>
      </c>
      <c r="B79" s="430"/>
      <c r="C79" s="431"/>
      <c r="D79" s="445"/>
      <c r="E79" s="26"/>
      <c r="F79" s="445"/>
      <c r="G79" s="26"/>
      <c r="H79" s="445"/>
      <c r="I79" s="299"/>
      <c r="J79" s="445"/>
      <c r="K79" s="26"/>
      <c r="L79" s="445"/>
      <c r="M79" s="26"/>
    </row>
    <row r="80" spans="1:13" ht="12.6" customHeight="1">
      <c r="A80" s="434" t="s">
        <v>1301</v>
      </c>
      <c r="B80" s="430"/>
      <c r="C80" s="431"/>
      <c r="D80" s="445"/>
      <c r="E80" s="26"/>
      <c r="F80" s="445"/>
      <c r="G80" s="26"/>
      <c r="H80" s="445"/>
      <c r="I80" s="299"/>
      <c r="J80" s="445"/>
      <c r="K80" s="26"/>
      <c r="L80" s="445"/>
      <c r="M80" s="26"/>
    </row>
    <row r="81" spans="1:13" ht="12.6" customHeight="1">
      <c r="A81" s="434" t="s">
        <v>603</v>
      </c>
      <c r="B81" s="430"/>
      <c r="C81" s="431"/>
      <c r="D81" s="445"/>
      <c r="E81" s="26"/>
      <c r="F81" s="445"/>
      <c r="G81" s="26"/>
      <c r="H81" s="445"/>
      <c r="I81" s="26"/>
      <c r="J81" s="445"/>
      <c r="K81" s="26"/>
      <c r="L81" s="445"/>
      <c r="M81" s="26"/>
    </row>
    <row r="82" spans="1:13" ht="12.6" customHeight="1">
      <c r="A82" s="434"/>
      <c r="B82" s="430" t="s">
        <v>539</v>
      </c>
      <c r="C82" s="431" t="s">
        <v>126</v>
      </c>
      <c r="D82" s="445"/>
      <c r="E82" s="26">
        <v>0</v>
      </c>
      <c r="F82" s="445"/>
      <c r="G82" s="26">
        <v>0</v>
      </c>
      <c r="H82" s="445"/>
      <c r="I82" s="299">
        <f t="shared" ref="I82:I85" si="7">K82-G82</f>
        <v>200000</v>
      </c>
      <c r="J82" s="445"/>
      <c r="K82" s="26">
        <v>200000</v>
      </c>
      <c r="L82" s="445"/>
      <c r="M82" s="26">
        <v>200000</v>
      </c>
    </row>
    <row r="83" spans="1:13" ht="12.6" customHeight="1">
      <c r="A83" s="434" t="s">
        <v>1405</v>
      </c>
      <c r="B83" s="430" t="s">
        <v>538</v>
      </c>
      <c r="C83" s="431" t="s">
        <v>127</v>
      </c>
      <c r="D83" s="445"/>
      <c r="E83" s="26">
        <v>3579</v>
      </c>
      <c r="F83" s="445"/>
      <c r="G83" s="26">
        <v>0</v>
      </c>
      <c r="H83" s="445"/>
      <c r="I83" s="299">
        <f t="shared" si="7"/>
        <v>350000</v>
      </c>
      <c r="J83" s="445"/>
      <c r="K83" s="26">
        <v>350000</v>
      </c>
      <c r="L83" s="445"/>
      <c r="M83" s="26">
        <v>350000</v>
      </c>
    </row>
    <row r="84" spans="1:13" ht="11.25" customHeight="1">
      <c r="A84" s="434"/>
      <c r="B84" s="430" t="s">
        <v>784</v>
      </c>
      <c r="C84" s="431" t="s">
        <v>129</v>
      </c>
      <c r="D84" s="445"/>
      <c r="E84" s="26">
        <v>9222.57</v>
      </c>
      <c r="F84" s="445"/>
      <c r="G84" s="26">
        <v>0</v>
      </c>
      <c r="H84" s="445"/>
      <c r="I84" s="299">
        <f t="shared" si="7"/>
        <v>200000</v>
      </c>
      <c r="J84" s="445"/>
      <c r="K84" s="26">
        <v>200000</v>
      </c>
      <c r="L84" s="445"/>
      <c r="M84" s="26">
        <v>200000</v>
      </c>
    </row>
    <row r="85" spans="1:13" ht="11.25" customHeight="1">
      <c r="A85" s="434"/>
      <c r="B85" s="430" t="s">
        <v>776</v>
      </c>
      <c r="C85" s="431" t="s">
        <v>174</v>
      </c>
      <c r="D85" s="445"/>
      <c r="E85" s="26">
        <v>0</v>
      </c>
      <c r="F85" s="445"/>
      <c r="G85" s="26">
        <v>0</v>
      </c>
      <c r="H85" s="445"/>
      <c r="I85" s="299">
        <f t="shared" si="7"/>
        <v>350000</v>
      </c>
      <c r="J85" s="445"/>
      <c r="K85" s="26">
        <v>350000</v>
      </c>
      <c r="L85" s="445"/>
      <c r="M85" s="26">
        <v>350000</v>
      </c>
    </row>
    <row r="86" spans="1:13" ht="12.6" customHeight="1">
      <c r="A86" s="434"/>
      <c r="B86" s="430" t="s">
        <v>540</v>
      </c>
      <c r="C86" s="431" t="s">
        <v>148</v>
      </c>
      <c r="D86" s="445"/>
      <c r="E86" s="26"/>
      <c r="F86" s="445"/>
      <c r="G86" s="26"/>
      <c r="H86" s="445"/>
      <c r="I86" s="299"/>
      <c r="J86" s="445"/>
      <c r="K86" s="26"/>
      <c r="L86" s="445"/>
      <c r="M86" s="26"/>
    </row>
    <row r="87" spans="1:13" ht="12.6" customHeight="1">
      <c r="A87" s="434"/>
      <c r="B87" s="430" t="s">
        <v>1144</v>
      </c>
      <c r="C87" s="431"/>
      <c r="D87" s="445"/>
      <c r="E87" s="26">
        <v>263670</v>
      </c>
      <c r="F87" s="445"/>
      <c r="G87" s="26">
        <v>21000</v>
      </c>
      <c r="H87" s="445"/>
      <c r="I87" s="299">
        <f t="shared" ref="I87:I90" si="8">K87-G87</f>
        <v>479000</v>
      </c>
      <c r="J87" s="445"/>
      <c r="K87" s="26">
        <v>500000</v>
      </c>
      <c r="L87" s="445"/>
      <c r="M87" s="26">
        <v>500000</v>
      </c>
    </row>
    <row r="88" spans="1:13" ht="12.6" customHeight="1">
      <c r="A88" s="434"/>
      <c r="B88" s="430" t="s">
        <v>526</v>
      </c>
      <c r="C88" s="431"/>
      <c r="D88" s="445"/>
      <c r="E88" s="26">
        <v>0</v>
      </c>
      <c r="F88" s="445"/>
      <c r="G88" s="26">
        <v>29000</v>
      </c>
      <c r="H88" s="445"/>
      <c r="I88" s="299">
        <f t="shared" si="8"/>
        <v>91000</v>
      </c>
      <c r="J88" s="445"/>
      <c r="K88" s="26">
        <v>120000</v>
      </c>
      <c r="L88" s="445"/>
      <c r="M88" s="26">
        <v>120000</v>
      </c>
    </row>
    <row r="89" spans="1:13" ht="12.6" customHeight="1">
      <c r="A89" s="434" t="s">
        <v>777</v>
      </c>
      <c r="B89" s="430"/>
      <c r="C89" s="431"/>
      <c r="D89" s="445"/>
      <c r="E89" s="26"/>
      <c r="F89" s="445"/>
      <c r="G89" s="26"/>
      <c r="H89" s="445"/>
      <c r="I89" s="299"/>
      <c r="J89" s="445"/>
      <c r="K89" s="26"/>
      <c r="L89" s="445"/>
      <c r="M89" s="26"/>
    </row>
    <row r="90" spans="1:13" ht="12.6" customHeight="1">
      <c r="A90" s="434" t="s">
        <v>778</v>
      </c>
      <c r="B90" s="430"/>
      <c r="C90" s="431"/>
      <c r="D90" s="445"/>
      <c r="E90" s="26">
        <v>444350</v>
      </c>
      <c r="F90" s="445"/>
      <c r="G90" s="26">
        <v>66000</v>
      </c>
      <c r="H90" s="445"/>
      <c r="I90" s="299">
        <f t="shared" si="8"/>
        <v>434000</v>
      </c>
      <c r="J90" s="445"/>
      <c r="K90" s="26">
        <v>500000</v>
      </c>
      <c r="L90" s="445"/>
      <c r="M90" s="26">
        <v>500000</v>
      </c>
    </row>
    <row r="91" spans="1:13" ht="12.6" customHeight="1">
      <c r="A91" s="434" t="s">
        <v>779</v>
      </c>
      <c r="B91" s="430"/>
      <c r="C91" s="431"/>
      <c r="D91" s="445"/>
      <c r="E91" s="26"/>
      <c r="F91" s="445"/>
      <c r="G91" s="26"/>
      <c r="H91" s="445"/>
      <c r="I91" s="299"/>
      <c r="J91" s="445"/>
      <c r="K91" s="26"/>
      <c r="L91" s="445"/>
      <c r="M91" s="26"/>
    </row>
    <row r="92" spans="1:13" ht="12.6" customHeight="1">
      <c r="A92" s="434" t="s">
        <v>603</v>
      </c>
      <c r="B92" s="430"/>
      <c r="C92" s="431"/>
      <c r="D92" s="445"/>
      <c r="E92" s="26"/>
      <c r="F92" s="445"/>
      <c r="G92" s="26"/>
      <c r="H92" s="445"/>
      <c r="I92" s="299"/>
      <c r="J92" s="445"/>
      <c r="K92" s="26"/>
      <c r="L92" s="445"/>
      <c r="M92" s="26"/>
    </row>
    <row r="93" spans="1:13" ht="12.6" customHeight="1">
      <c r="A93" s="434"/>
      <c r="B93" s="430" t="s">
        <v>539</v>
      </c>
      <c r="C93" s="431" t="s">
        <v>126</v>
      </c>
      <c r="D93" s="445"/>
      <c r="E93" s="26">
        <v>0</v>
      </c>
      <c r="F93" s="445"/>
      <c r="G93" s="26">
        <v>0</v>
      </c>
      <c r="H93" s="445"/>
      <c r="I93" s="299">
        <f t="shared" ref="I93" si="9">K93-G93</f>
        <v>30000</v>
      </c>
      <c r="J93" s="445"/>
      <c r="K93" s="26">
        <v>30000</v>
      </c>
      <c r="L93" s="445"/>
      <c r="M93" s="26">
        <v>30000</v>
      </c>
    </row>
    <row r="94" spans="1:13" ht="12.6" customHeight="1">
      <c r="A94" s="434"/>
      <c r="B94" s="430" t="s">
        <v>540</v>
      </c>
      <c r="C94" s="431" t="s">
        <v>148</v>
      </c>
      <c r="D94" s="445"/>
      <c r="E94" s="26"/>
      <c r="F94" s="445"/>
      <c r="G94" s="26"/>
      <c r="H94" s="445"/>
      <c r="I94" s="299"/>
      <c r="J94" s="445"/>
      <c r="K94" s="26"/>
      <c r="L94" s="445"/>
      <c r="M94" s="26"/>
    </row>
    <row r="95" spans="1:13" ht="12.6" customHeight="1">
      <c r="A95" s="434"/>
      <c r="B95" s="430" t="s">
        <v>526</v>
      </c>
      <c r="C95" s="431"/>
      <c r="D95" s="445"/>
      <c r="E95" s="26">
        <v>176000</v>
      </c>
      <c r="F95" s="445"/>
      <c r="G95" s="26">
        <v>52800</v>
      </c>
      <c r="H95" s="445"/>
      <c r="I95" s="299">
        <f t="shared" ref="I95:I96" si="10">K95-G95</f>
        <v>207200</v>
      </c>
      <c r="J95" s="445"/>
      <c r="K95" s="26">
        <v>260000</v>
      </c>
      <c r="L95" s="445"/>
      <c r="M95" s="26">
        <v>260000</v>
      </c>
    </row>
    <row r="96" spans="1:13" ht="12.6" customHeight="1">
      <c r="A96" s="434"/>
      <c r="B96" s="430" t="s">
        <v>858</v>
      </c>
      <c r="C96" s="431"/>
      <c r="D96" s="445"/>
      <c r="E96" s="26">
        <v>0</v>
      </c>
      <c r="F96" s="445"/>
      <c r="G96" s="26">
        <v>0</v>
      </c>
      <c r="H96" s="445"/>
      <c r="I96" s="299">
        <f t="shared" si="10"/>
        <v>10000</v>
      </c>
      <c r="J96" s="445"/>
      <c r="K96" s="26">
        <v>10000</v>
      </c>
      <c r="L96" s="445"/>
      <c r="M96" s="26">
        <v>10000</v>
      </c>
    </row>
    <row r="97" spans="1:13" ht="12.6" customHeight="1">
      <c r="A97" s="434" t="s">
        <v>780</v>
      </c>
      <c r="B97" s="430"/>
      <c r="C97" s="431"/>
      <c r="D97" s="445"/>
      <c r="E97" s="26"/>
      <c r="F97" s="445"/>
      <c r="G97" s="26"/>
      <c r="H97" s="445"/>
      <c r="I97" s="299"/>
      <c r="J97" s="445"/>
      <c r="K97" s="26"/>
      <c r="L97" s="445"/>
      <c r="M97" s="26"/>
    </row>
    <row r="98" spans="1:13" ht="12.6" customHeight="1">
      <c r="A98" s="434" t="s">
        <v>603</v>
      </c>
      <c r="B98" s="430"/>
      <c r="C98" s="431"/>
      <c r="D98" s="445"/>
      <c r="E98" s="26"/>
      <c r="F98" s="445"/>
      <c r="G98" s="26"/>
      <c r="H98" s="445"/>
      <c r="I98" s="26"/>
      <c r="J98" s="445"/>
      <c r="K98" s="26"/>
      <c r="L98" s="445"/>
      <c r="M98" s="26"/>
    </row>
    <row r="99" spans="1:13" ht="12.6" customHeight="1">
      <c r="A99" s="434"/>
      <c r="B99" s="430" t="s">
        <v>539</v>
      </c>
      <c r="C99" s="431" t="s">
        <v>126</v>
      </c>
      <c r="D99" s="445"/>
      <c r="E99" s="26">
        <v>0</v>
      </c>
      <c r="F99" s="445"/>
      <c r="G99" s="26">
        <v>1500</v>
      </c>
      <c r="H99" s="445"/>
      <c r="I99" s="299">
        <f t="shared" ref="I99:I107" si="11">K99-G99</f>
        <v>38500</v>
      </c>
      <c r="J99" s="445"/>
      <c r="K99" s="26">
        <v>40000</v>
      </c>
      <c r="L99" s="445"/>
      <c r="M99" s="26">
        <v>40000</v>
      </c>
    </row>
    <row r="100" spans="1:13" ht="12.6" customHeight="1">
      <c r="A100" s="434"/>
      <c r="B100" s="430" t="s">
        <v>538</v>
      </c>
      <c r="C100" s="431" t="s">
        <v>127</v>
      </c>
      <c r="D100" s="445"/>
      <c r="E100" s="26">
        <v>0</v>
      </c>
      <c r="F100" s="445"/>
      <c r="G100" s="26">
        <v>0</v>
      </c>
      <c r="H100" s="445"/>
      <c r="I100" s="299">
        <f t="shared" si="11"/>
        <v>50000</v>
      </c>
      <c r="J100" s="445"/>
      <c r="K100" s="26">
        <v>50000</v>
      </c>
      <c r="L100" s="445"/>
      <c r="M100" s="26">
        <v>50000</v>
      </c>
    </row>
    <row r="101" spans="1:13" ht="12.6" customHeight="1">
      <c r="A101" s="434"/>
      <c r="B101" s="430" t="s">
        <v>537</v>
      </c>
      <c r="C101" s="431" t="s">
        <v>128</v>
      </c>
      <c r="D101" s="445"/>
      <c r="E101" s="26">
        <v>16779</v>
      </c>
      <c r="F101" s="445"/>
      <c r="G101" s="26">
        <v>420</v>
      </c>
      <c r="H101" s="445"/>
      <c r="I101" s="299">
        <f t="shared" si="11"/>
        <v>29580</v>
      </c>
      <c r="J101" s="445"/>
      <c r="K101" s="26">
        <v>30000</v>
      </c>
      <c r="L101" s="445"/>
      <c r="M101" s="26">
        <v>30000</v>
      </c>
    </row>
    <row r="102" spans="1:13" ht="11.25" customHeight="1">
      <c r="A102" s="434"/>
      <c r="B102" s="430" t="s">
        <v>784</v>
      </c>
      <c r="C102" s="431" t="s">
        <v>129</v>
      </c>
      <c r="D102" s="445"/>
      <c r="E102" s="26">
        <v>37179.599999999999</v>
      </c>
      <c r="F102" s="445"/>
      <c r="G102" s="26">
        <v>10523.5</v>
      </c>
      <c r="H102" s="445"/>
      <c r="I102" s="299">
        <f t="shared" si="11"/>
        <v>49476.5</v>
      </c>
      <c r="J102" s="445"/>
      <c r="K102" s="26">
        <v>60000</v>
      </c>
      <c r="L102" s="445"/>
      <c r="M102" s="26">
        <v>60000</v>
      </c>
    </row>
    <row r="103" spans="1:13" ht="11.25" customHeight="1">
      <c r="A103" s="434"/>
      <c r="B103" s="430" t="s">
        <v>776</v>
      </c>
      <c r="C103" s="431" t="s">
        <v>174</v>
      </c>
      <c r="D103" s="445"/>
      <c r="E103" s="26">
        <v>18605</v>
      </c>
      <c r="F103" s="445"/>
      <c r="G103" s="26">
        <v>0</v>
      </c>
      <c r="H103" s="445"/>
      <c r="I103" s="299">
        <f t="shared" si="11"/>
        <v>30000</v>
      </c>
      <c r="J103" s="445"/>
      <c r="K103" s="26">
        <v>30000</v>
      </c>
      <c r="L103" s="445"/>
      <c r="M103" s="26">
        <v>30000</v>
      </c>
    </row>
    <row r="104" spans="1:13" ht="11.25" customHeight="1">
      <c r="A104" s="434"/>
      <c r="B104" s="430" t="s">
        <v>1071</v>
      </c>
      <c r="C104" s="431" t="s">
        <v>134</v>
      </c>
      <c r="D104" s="445"/>
      <c r="E104" s="26">
        <v>0</v>
      </c>
      <c r="F104" s="445"/>
      <c r="G104" s="26">
        <v>0</v>
      </c>
      <c r="H104" s="445"/>
      <c r="I104" s="299">
        <f t="shared" si="11"/>
        <v>16000</v>
      </c>
      <c r="J104" s="445"/>
      <c r="K104" s="26">
        <v>16000</v>
      </c>
      <c r="L104" s="445"/>
      <c r="M104" s="26">
        <v>16000</v>
      </c>
    </row>
    <row r="105" spans="1:13" ht="11.25" customHeight="1">
      <c r="A105" s="434"/>
      <c r="B105" s="430" t="s">
        <v>781</v>
      </c>
      <c r="C105" s="431" t="s">
        <v>137</v>
      </c>
      <c r="D105" s="445"/>
      <c r="E105" s="26">
        <v>2200</v>
      </c>
      <c r="F105" s="445"/>
      <c r="G105" s="26">
        <v>1140</v>
      </c>
      <c r="H105" s="445"/>
      <c r="I105" s="299">
        <f t="shared" si="11"/>
        <v>8860</v>
      </c>
      <c r="J105" s="445"/>
      <c r="K105" s="26">
        <v>10000</v>
      </c>
      <c r="L105" s="445"/>
      <c r="M105" s="26">
        <v>10000</v>
      </c>
    </row>
    <row r="106" spans="1:13" ht="11.25" customHeight="1">
      <c r="A106" s="434"/>
      <c r="B106" s="430" t="s">
        <v>861</v>
      </c>
      <c r="C106" s="431" t="s">
        <v>176</v>
      </c>
      <c r="D106" s="445"/>
      <c r="E106" s="26">
        <v>0</v>
      </c>
      <c r="F106" s="445"/>
      <c r="G106" s="26">
        <v>0</v>
      </c>
      <c r="H106" s="445"/>
      <c r="I106" s="299">
        <f t="shared" si="11"/>
        <v>25000</v>
      </c>
      <c r="J106" s="445"/>
      <c r="K106" s="26">
        <v>25000</v>
      </c>
      <c r="L106" s="445"/>
      <c r="M106" s="26">
        <v>25000</v>
      </c>
    </row>
    <row r="107" spans="1:13" ht="11.25" customHeight="1">
      <c r="A107" s="434"/>
      <c r="B107" s="430" t="s">
        <v>782</v>
      </c>
      <c r="C107" s="431" t="s">
        <v>144</v>
      </c>
      <c r="D107" s="445"/>
      <c r="E107" s="26">
        <v>0</v>
      </c>
      <c r="F107" s="445"/>
      <c r="G107" s="26">
        <v>0</v>
      </c>
      <c r="H107" s="445"/>
      <c r="I107" s="299">
        <f t="shared" si="11"/>
        <v>25000</v>
      </c>
      <c r="J107" s="445"/>
      <c r="K107" s="26">
        <v>25000</v>
      </c>
      <c r="L107" s="445"/>
      <c r="M107" s="26">
        <v>25000</v>
      </c>
    </row>
    <row r="108" spans="1:13" ht="12.6" customHeight="1">
      <c r="A108" s="434"/>
      <c r="B108" s="430" t="s">
        <v>540</v>
      </c>
      <c r="C108" s="431" t="s">
        <v>148</v>
      </c>
      <c r="D108" s="445"/>
      <c r="E108" s="26"/>
      <c r="F108" s="445"/>
      <c r="G108" s="26">
        <v>0</v>
      </c>
      <c r="H108" s="445"/>
      <c r="I108" s="299"/>
      <c r="J108" s="445"/>
      <c r="K108" s="26"/>
      <c r="L108" s="445"/>
      <c r="M108" s="26"/>
    </row>
    <row r="109" spans="1:13" ht="12.6" customHeight="1">
      <c r="A109" s="434"/>
      <c r="B109" s="430" t="s">
        <v>526</v>
      </c>
      <c r="C109" s="431"/>
      <c r="D109" s="445"/>
      <c r="E109" s="26">
        <v>42000</v>
      </c>
      <c r="F109" s="445"/>
      <c r="G109" s="26">
        <v>21000</v>
      </c>
      <c r="H109" s="445"/>
      <c r="I109" s="299">
        <f t="shared" ref="I109:I110" si="12">K109-G109</f>
        <v>21000</v>
      </c>
      <c r="J109" s="445"/>
      <c r="K109" s="26">
        <v>42000</v>
      </c>
      <c r="L109" s="445"/>
      <c r="M109" s="26">
        <v>60000</v>
      </c>
    </row>
    <row r="110" spans="1:13" ht="12.6" customHeight="1">
      <c r="A110" s="434"/>
      <c r="B110" s="430" t="s">
        <v>783</v>
      </c>
      <c r="C110" s="431"/>
      <c r="D110" s="445"/>
      <c r="E110" s="26">
        <v>0</v>
      </c>
      <c r="F110" s="445"/>
      <c r="G110" s="26">
        <v>0</v>
      </c>
      <c r="H110" s="445"/>
      <c r="I110" s="299">
        <f t="shared" si="12"/>
        <v>25000</v>
      </c>
      <c r="J110" s="445"/>
      <c r="K110" s="26">
        <v>25000</v>
      </c>
      <c r="L110" s="445"/>
      <c r="M110" s="26">
        <v>25000</v>
      </c>
    </row>
    <row r="111" spans="1:13" ht="12.6" customHeight="1">
      <c r="A111" s="434" t="s">
        <v>550</v>
      </c>
      <c r="B111" s="451"/>
      <c r="C111" s="443"/>
      <c r="D111" s="445"/>
      <c r="E111" s="26"/>
      <c r="F111" s="445"/>
      <c r="G111" s="26"/>
      <c r="H111" s="445"/>
      <c r="I111" s="299"/>
      <c r="J111" s="445"/>
      <c r="K111" s="26"/>
      <c r="L111" s="445"/>
      <c r="M111" s="26"/>
    </row>
    <row r="112" spans="1:13" ht="12.6" customHeight="1">
      <c r="A112" s="434" t="s">
        <v>1225</v>
      </c>
      <c r="B112" s="430"/>
      <c r="C112" s="431"/>
      <c r="D112" s="445"/>
      <c r="E112" s="26"/>
      <c r="F112" s="445"/>
      <c r="G112" s="26"/>
      <c r="H112" s="445"/>
      <c r="I112" s="299"/>
      <c r="J112" s="445"/>
      <c r="K112" s="26"/>
      <c r="L112" s="445"/>
      <c r="M112" s="26"/>
    </row>
    <row r="113" spans="1:13" ht="12.6" customHeight="1">
      <c r="A113" s="434"/>
      <c r="B113" s="452" t="s">
        <v>595</v>
      </c>
      <c r="C113" s="443"/>
      <c r="D113" s="445"/>
      <c r="E113" s="26"/>
      <c r="F113" s="445"/>
      <c r="G113" s="26"/>
      <c r="H113" s="445"/>
      <c r="I113" s="26"/>
      <c r="J113" s="445"/>
      <c r="K113" s="26"/>
      <c r="L113" s="445"/>
      <c r="M113" s="26"/>
    </row>
    <row r="114" spans="1:13" ht="12.6" customHeight="1">
      <c r="A114" s="453"/>
      <c r="B114" s="452" t="s">
        <v>988</v>
      </c>
      <c r="C114" s="443" t="s">
        <v>126</v>
      </c>
      <c r="D114" s="445"/>
      <c r="E114" s="304">
        <v>1620</v>
      </c>
      <c r="F114" s="445"/>
      <c r="G114" s="26">
        <v>9369</v>
      </c>
      <c r="H114" s="445"/>
      <c r="I114" s="299">
        <f t="shared" ref="I114:I120" si="13">K114-G114</f>
        <v>50631</v>
      </c>
      <c r="J114" s="445"/>
      <c r="K114" s="304">
        <v>60000</v>
      </c>
      <c r="L114" s="445"/>
      <c r="M114" s="26">
        <v>60000</v>
      </c>
    </row>
    <row r="115" spans="1:13" ht="12.6" customHeight="1">
      <c r="A115" s="453"/>
      <c r="B115" s="452" t="s">
        <v>552</v>
      </c>
      <c r="C115" s="443" t="s">
        <v>128</v>
      </c>
      <c r="D115" s="445"/>
      <c r="E115" s="304">
        <v>13500</v>
      </c>
      <c r="F115" s="445"/>
      <c r="G115" s="26">
        <v>33750</v>
      </c>
      <c r="H115" s="445"/>
      <c r="I115" s="299">
        <f t="shared" si="13"/>
        <v>16250</v>
      </c>
      <c r="J115" s="445"/>
      <c r="K115" s="304">
        <v>50000</v>
      </c>
      <c r="L115" s="445"/>
      <c r="M115" s="26">
        <v>50000</v>
      </c>
    </row>
    <row r="116" spans="1:13" ht="12.6" customHeight="1">
      <c r="A116" s="453"/>
      <c r="B116" s="452" t="s">
        <v>554</v>
      </c>
      <c r="C116" s="443" t="s">
        <v>129</v>
      </c>
      <c r="D116" s="445"/>
      <c r="E116" s="305">
        <v>30288.71</v>
      </c>
      <c r="F116" s="445"/>
      <c r="G116" s="26">
        <v>18860.900000000001</v>
      </c>
      <c r="H116" s="445"/>
      <c r="I116" s="299">
        <f t="shared" si="13"/>
        <v>41139.1</v>
      </c>
      <c r="J116" s="445"/>
      <c r="K116" s="305">
        <v>60000</v>
      </c>
      <c r="L116" s="445"/>
      <c r="M116" s="26">
        <v>60000</v>
      </c>
    </row>
    <row r="117" spans="1:13" ht="12.6" customHeight="1">
      <c r="A117" s="455"/>
      <c r="B117" s="456" t="s">
        <v>950</v>
      </c>
      <c r="C117" s="906" t="s">
        <v>174</v>
      </c>
      <c r="D117" s="450"/>
      <c r="E117" s="365">
        <v>0</v>
      </c>
      <c r="F117" s="450"/>
      <c r="G117" s="31">
        <v>0</v>
      </c>
      <c r="H117" s="450"/>
      <c r="I117" s="302">
        <f t="shared" si="13"/>
        <v>7000</v>
      </c>
      <c r="J117" s="450"/>
      <c r="K117" s="365">
        <v>7000</v>
      </c>
      <c r="L117" s="450"/>
      <c r="M117" s="31">
        <v>7000</v>
      </c>
    </row>
    <row r="118" spans="1:13" ht="12.6" customHeight="1">
      <c r="A118" s="453"/>
      <c r="B118" s="452" t="s">
        <v>1226</v>
      </c>
      <c r="C118" s="443" t="s">
        <v>134</v>
      </c>
      <c r="D118" s="445"/>
      <c r="E118" s="305">
        <v>9028</v>
      </c>
      <c r="F118" s="445"/>
      <c r="G118" s="26">
        <v>0</v>
      </c>
      <c r="H118" s="445"/>
      <c r="I118" s="299">
        <f t="shared" si="13"/>
        <v>15600</v>
      </c>
      <c r="J118" s="445"/>
      <c r="K118" s="305">
        <v>15600</v>
      </c>
      <c r="L118" s="445"/>
      <c r="M118" s="26">
        <v>20400</v>
      </c>
    </row>
    <row r="119" spans="1:13" ht="12.6" customHeight="1">
      <c r="A119" s="434"/>
      <c r="B119" s="451" t="s">
        <v>1227</v>
      </c>
      <c r="C119" s="454" t="s">
        <v>176</v>
      </c>
      <c r="D119" s="445"/>
      <c r="E119" s="26">
        <v>0</v>
      </c>
      <c r="F119" s="445"/>
      <c r="G119" s="26">
        <v>0</v>
      </c>
      <c r="H119" s="445"/>
      <c r="I119" s="299">
        <f t="shared" si="13"/>
        <v>39000</v>
      </c>
      <c r="J119" s="445"/>
      <c r="K119" s="26">
        <v>39000</v>
      </c>
      <c r="L119" s="445"/>
      <c r="M119" s="26">
        <v>39000</v>
      </c>
    </row>
    <row r="120" spans="1:13" ht="12.6" customHeight="1">
      <c r="A120" s="434"/>
      <c r="B120" s="451" t="s">
        <v>1228</v>
      </c>
      <c r="C120" s="454" t="s">
        <v>141</v>
      </c>
      <c r="D120" s="445"/>
      <c r="E120" s="26">
        <v>0</v>
      </c>
      <c r="F120" s="445"/>
      <c r="G120" s="26">
        <v>0</v>
      </c>
      <c r="H120" s="445"/>
      <c r="I120" s="299">
        <f t="shared" si="13"/>
        <v>40000</v>
      </c>
      <c r="J120" s="445"/>
      <c r="K120" s="26">
        <v>40000</v>
      </c>
      <c r="L120" s="445"/>
      <c r="M120" s="26">
        <v>40000</v>
      </c>
    </row>
    <row r="121" spans="1:13" ht="12.6" customHeight="1">
      <c r="A121" s="453"/>
      <c r="B121" s="452" t="s">
        <v>598</v>
      </c>
      <c r="C121" s="443" t="s">
        <v>148</v>
      </c>
      <c r="D121" s="445"/>
      <c r="E121" s="305"/>
      <c r="F121" s="445"/>
      <c r="G121" s="26"/>
      <c r="H121" s="445"/>
      <c r="I121" s="26"/>
      <c r="J121" s="445"/>
      <c r="K121" s="305"/>
      <c r="L121" s="445"/>
      <c r="M121" s="305"/>
    </row>
    <row r="122" spans="1:13" ht="12.6" customHeight="1">
      <c r="A122" s="453"/>
      <c r="B122" s="452" t="s">
        <v>599</v>
      </c>
      <c r="C122" s="443"/>
      <c r="D122" s="445"/>
      <c r="E122" s="305">
        <v>0</v>
      </c>
      <c r="F122" s="445"/>
      <c r="G122" s="26">
        <v>29000</v>
      </c>
      <c r="H122" s="445"/>
      <c r="I122" s="299">
        <f>K122-G122</f>
        <v>44000</v>
      </c>
      <c r="J122" s="445"/>
      <c r="K122" s="305">
        <v>73000</v>
      </c>
      <c r="L122" s="445"/>
      <c r="M122" s="26">
        <v>92000</v>
      </c>
    </row>
    <row r="123" spans="1:13" ht="12.6" customHeight="1">
      <c r="A123" s="453"/>
      <c r="B123" s="452" t="s">
        <v>785</v>
      </c>
      <c r="C123" s="443"/>
      <c r="D123" s="445"/>
      <c r="E123" s="305">
        <v>21505.56</v>
      </c>
      <c r="F123" s="445"/>
      <c r="G123" s="26">
        <v>0</v>
      </c>
      <c r="H123" s="445"/>
      <c r="I123" s="299">
        <f>K123-G123</f>
        <v>0</v>
      </c>
      <c r="J123" s="445"/>
      <c r="K123" s="305">
        <v>0</v>
      </c>
      <c r="L123" s="445"/>
      <c r="M123" s="26">
        <v>0</v>
      </c>
    </row>
    <row r="124" spans="1:13" ht="12.6" customHeight="1">
      <c r="A124" s="434" t="s">
        <v>1229</v>
      </c>
      <c r="B124" s="430"/>
      <c r="C124" s="431"/>
      <c r="D124" s="445"/>
      <c r="E124" s="26"/>
      <c r="F124" s="445"/>
      <c r="G124" s="26"/>
      <c r="H124" s="445"/>
      <c r="I124" s="299"/>
      <c r="J124" s="445"/>
      <c r="K124" s="26"/>
      <c r="L124" s="445"/>
      <c r="M124" s="26"/>
    </row>
    <row r="125" spans="1:13" ht="12.6" customHeight="1">
      <c r="A125" s="434"/>
      <c r="B125" s="452" t="s">
        <v>595</v>
      </c>
      <c r="C125" s="443"/>
      <c r="D125" s="445"/>
      <c r="E125" s="26"/>
      <c r="F125" s="445"/>
      <c r="G125" s="26"/>
      <c r="H125" s="445"/>
      <c r="I125" s="26"/>
      <c r="J125" s="445"/>
      <c r="K125" s="26"/>
      <c r="L125" s="445"/>
      <c r="M125" s="26"/>
    </row>
    <row r="126" spans="1:13" ht="12.6" customHeight="1">
      <c r="A126" s="453"/>
      <c r="B126" s="452" t="s">
        <v>521</v>
      </c>
      <c r="C126" s="443" t="s">
        <v>126</v>
      </c>
      <c r="D126" s="445"/>
      <c r="E126" s="304">
        <v>0</v>
      </c>
      <c r="F126" s="445"/>
      <c r="G126" s="26">
        <v>67500</v>
      </c>
      <c r="H126" s="445"/>
      <c r="I126" s="299">
        <f t="shared" ref="I126:I130" si="14">K126-G126</f>
        <v>82500</v>
      </c>
      <c r="J126" s="445"/>
      <c r="K126" s="304">
        <v>150000</v>
      </c>
      <c r="L126" s="445"/>
      <c r="M126" s="26">
        <v>0</v>
      </c>
    </row>
    <row r="127" spans="1:13" ht="12.6" customHeight="1">
      <c r="A127" s="453"/>
      <c r="B127" s="452" t="s">
        <v>596</v>
      </c>
      <c r="C127" s="443" t="s">
        <v>128</v>
      </c>
      <c r="D127" s="445"/>
      <c r="E127" s="304">
        <v>0</v>
      </c>
      <c r="F127" s="445"/>
      <c r="G127" s="26">
        <v>0</v>
      </c>
      <c r="H127" s="445"/>
      <c r="I127" s="299">
        <f t="shared" si="14"/>
        <v>0</v>
      </c>
      <c r="J127" s="445"/>
      <c r="K127" s="304">
        <v>0</v>
      </c>
      <c r="L127" s="445"/>
      <c r="M127" s="304">
        <v>0</v>
      </c>
    </row>
    <row r="128" spans="1:13" ht="12.6" customHeight="1">
      <c r="A128" s="453"/>
      <c r="B128" s="452" t="s">
        <v>522</v>
      </c>
      <c r="C128" s="443" t="s">
        <v>129</v>
      </c>
      <c r="D128" s="445"/>
      <c r="E128" s="305">
        <v>0</v>
      </c>
      <c r="F128" s="445"/>
      <c r="G128" s="26">
        <v>73248.679999999993</v>
      </c>
      <c r="H128" s="445"/>
      <c r="I128" s="299">
        <f t="shared" si="14"/>
        <v>56751.320000000007</v>
      </c>
      <c r="J128" s="445"/>
      <c r="K128" s="305">
        <v>130000</v>
      </c>
      <c r="L128" s="445"/>
      <c r="M128" s="26">
        <v>0</v>
      </c>
    </row>
    <row r="129" spans="1:13" ht="12.6" customHeight="1">
      <c r="A129" s="453"/>
      <c r="B129" s="452" t="s">
        <v>523</v>
      </c>
      <c r="C129" s="454" t="s">
        <v>174</v>
      </c>
      <c r="D129" s="445"/>
      <c r="E129" s="305">
        <v>0</v>
      </c>
      <c r="F129" s="445"/>
      <c r="G129" s="26">
        <v>22524</v>
      </c>
      <c r="H129" s="445"/>
      <c r="I129" s="299">
        <f t="shared" si="14"/>
        <v>4476</v>
      </c>
      <c r="J129" s="445"/>
      <c r="K129" s="305">
        <v>27000</v>
      </c>
      <c r="L129" s="445"/>
      <c r="M129" s="26">
        <v>0</v>
      </c>
    </row>
    <row r="130" spans="1:13" ht="12.6" customHeight="1">
      <c r="A130" s="453"/>
      <c r="B130" s="452" t="s">
        <v>597</v>
      </c>
      <c r="C130" s="443" t="s">
        <v>134</v>
      </c>
      <c r="D130" s="445"/>
      <c r="E130" s="305">
        <v>0</v>
      </c>
      <c r="F130" s="445"/>
      <c r="G130" s="26">
        <v>0</v>
      </c>
      <c r="H130" s="445"/>
      <c r="I130" s="299">
        <f t="shared" si="14"/>
        <v>0</v>
      </c>
      <c r="J130" s="445"/>
      <c r="K130" s="305">
        <v>0</v>
      </c>
      <c r="L130" s="445"/>
      <c r="M130" s="305">
        <v>0</v>
      </c>
    </row>
    <row r="131" spans="1:13" ht="12.6" customHeight="1">
      <c r="A131" s="453"/>
      <c r="B131" s="452" t="s">
        <v>598</v>
      </c>
      <c r="C131" s="443" t="s">
        <v>148</v>
      </c>
      <c r="D131" s="445"/>
      <c r="E131" s="305"/>
      <c r="F131" s="445"/>
      <c r="G131" s="26"/>
      <c r="H131" s="445"/>
      <c r="I131" s="26"/>
      <c r="J131" s="445"/>
      <c r="K131" s="305"/>
      <c r="L131" s="445"/>
      <c r="M131" s="305"/>
    </row>
    <row r="132" spans="1:13" ht="12.6" customHeight="1">
      <c r="A132" s="453"/>
      <c r="B132" s="452" t="s">
        <v>1230</v>
      </c>
      <c r="C132" s="443"/>
      <c r="D132" s="445"/>
      <c r="E132" s="305">
        <v>0</v>
      </c>
      <c r="F132" s="445"/>
      <c r="G132" s="26">
        <v>313000</v>
      </c>
      <c r="H132" s="445"/>
      <c r="I132" s="299">
        <f>K132-G132</f>
        <v>0</v>
      </c>
      <c r="J132" s="445"/>
      <c r="K132" s="305">
        <v>313000</v>
      </c>
      <c r="L132" s="445"/>
      <c r="M132" s="26">
        <v>0</v>
      </c>
    </row>
    <row r="133" spans="1:13" ht="12.6" customHeight="1">
      <c r="A133" s="453"/>
      <c r="B133" s="452" t="s">
        <v>785</v>
      </c>
      <c r="C133" s="443"/>
      <c r="D133" s="445"/>
      <c r="E133" s="305">
        <v>0</v>
      </c>
      <c r="F133" s="445"/>
      <c r="G133" s="26">
        <v>0</v>
      </c>
      <c r="H133" s="445"/>
      <c r="I133" s="299">
        <f>K133-G133</f>
        <v>0</v>
      </c>
      <c r="J133" s="445"/>
      <c r="K133" s="305">
        <v>0</v>
      </c>
      <c r="L133" s="445"/>
      <c r="M133" s="305">
        <v>0</v>
      </c>
    </row>
    <row r="134" spans="1:13" ht="12.6" customHeight="1">
      <c r="A134" s="453"/>
      <c r="B134" s="452" t="s">
        <v>599</v>
      </c>
      <c r="C134" s="443"/>
      <c r="D134" s="445"/>
      <c r="E134" s="305">
        <v>0</v>
      </c>
      <c r="F134" s="445"/>
      <c r="G134" s="26">
        <v>310000</v>
      </c>
      <c r="H134" s="445"/>
      <c r="I134" s="299">
        <f>K134-G134</f>
        <v>0</v>
      </c>
      <c r="J134" s="445"/>
      <c r="K134" s="305">
        <v>310000</v>
      </c>
      <c r="L134" s="445"/>
      <c r="M134" s="26">
        <v>0</v>
      </c>
    </row>
    <row r="135" spans="1:13" ht="12.6" customHeight="1">
      <c r="A135" s="434" t="s">
        <v>1247</v>
      </c>
      <c r="B135" s="451"/>
      <c r="C135" s="443"/>
      <c r="D135" s="445"/>
      <c r="E135" s="26"/>
      <c r="F135" s="445"/>
      <c r="G135" s="26"/>
      <c r="H135" s="445"/>
      <c r="I135" s="26"/>
      <c r="J135" s="445"/>
      <c r="K135" s="26"/>
      <c r="L135" s="445"/>
      <c r="M135" s="26"/>
    </row>
    <row r="136" spans="1:13" ht="12.6" customHeight="1">
      <c r="A136" s="434" t="s">
        <v>605</v>
      </c>
      <c r="B136" s="451"/>
      <c r="C136" s="443"/>
      <c r="D136" s="445"/>
      <c r="E136" s="26"/>
      <c r="F136" s="445"/>
      <c r="G136" s="26"/>
      <c r="H136" s="445"/>
      <c r="I136" s="26"/>
      <c r="J136" s="445"/>
      <c r="K136" s="26"/>
      <c r="L136" s="445"/>
      <c r="M136" s="26"/>
    </row>
    <row r="137" spans="1:13" ht="12.6" customHeight="1">
      <c r="A137" s="434" t="s">
        <v>1248</v>
      </c>
      <c r="B137" s="451"/>
      <c r="C137" s="443"/>
      <c r="D137" s="445"/>
      <c r="E137" s="26"/>
      <c r="F137" s="445"/>
      <c r="G137" s="26"/>
      <c r="H137" s="445"/>
      <c r="I137" s="26"/>
      <c r="J137" s="445"/>
      <c r="K137" s="26"/>
      <c r="L137" s="445"/>
      <c r="M137" s="26"/>
    </row>
    <row r="138" spans="1:13" ht="12.6" customHeight="1">
      <c r="A138" s="434"/>
      <c r="B138" s="451" t="s">
        <v>789</v>
      </c>
      <c r="C138" s="443"/>
      <c r="D138" s="445"/>
      <c r="E138" s="26"/>
      <c r="F138" s="445"/>
      <c r="G138" s="26"/>
      <c r="H138" s="445"/>
      <c r="I138" s="26"/>
      <c r="J138" s="445"/>
      <c r="K138" s="26"/>
      <c r="L138" s="445"/>
      <c r="M138" s="26"/>
    </row>
    <row r="139" spans="1:13" ht="12.6" customHeight="1">
      <c r="A139" s="434" t="s">
        <v>607</v>
      </c>
      <c r="B139" s="451"/>
      <c r="C139" s="443"/>
      <c r="D139" s="445"/>
      <c r="E139" s="26"/>
      <c r="F139" s="445"/>
      <c r="G139" s="26"/>
      <c r="H139" s="445"/>
      <c r="I139" s="26"/>
      <c r="J139" s="445"/>
      <c r="K139" s="26"/>
      <c r="L139" s="445"/>
      <c r="M139" s="26"/>
    </row>
    <row r="140" spans="1:13" ht="12.6" customHeight="1">
      <c r="A140" s="434"/>
      <c r="B140" s="451" t="s">
        <v>521</v>
      </c>
      <c r="C140" s="443" t="s">
        <v>126</v>
      </c>
      <c r="D140" s="445"/>
      <c r="E140" s="26">
        <v>39950</v>
      </c>
      <c r="F140" s="445"/>
      <c r="G140" s="26">
        <v>0</v>
      </c>
      <c r="H140" s="445"/>
      <c r="I140" s="299">
        <f t="shared" ref="I140:I146" si="15">K140-G140</f>
        <v>0</v>
      </c>
      <c r="J140" s="445"/>
      <c r="K140" s="26">
        <v>0</v>
      </c>
      <c r="L140" s="445"/>
      <c r="M140" s="26">
        <v>0</v>
      </c>
    </row>
    <row r="141" spans="1:13" ht="12.6" customHeight="1">
      <c r="A141" s="434"/>
      <c r="B141" s="451" t="s">
        <v>551</v>
      </c>
      <c r="C141" s="443" t="s">
        <v>127</v>
      </c>
      <c r="D141" s="445"/>
      <c r="E141" s="26">
        <v>69800</v>
      </c>
      <c r="F141" s="445"/>
      <c r="G141" s="26">
        <v>0</v>
      </c>
      <c r="H141" s="445"/>
      <c r="I141" s="299">
        <f t="shared" si="15"/>
        <v>0</v>
      </c>
      <c r="J141" s="445"/>
      <c r="K141" s="26">
        <v>0</v>
      </c>
      <c r="L141" s="445"/>
      <c r="M141" s="26">
        <v>0</v>
      </c>
    </row>
    <row r="142" spans="1:13" ht="12.6" customHeight="1">
      <c r="A142" s="434"/>
      <c r="B142" s="451" t="s">
        <v>552</v>
      </c>
      <c r="C142" s="443" t="s">
        <v>128</v>
      </c>
      <c r="D142" s="445"/>
      <c r="E142" s="26">
        <v>15500</v>
      </c>
      <c r="F142" s="445"/>
      <c r="G142" s="26">
        <v>0</v>
      </c>
      <c r="H142" s="445"/>
      <c r="I142" s="299">
        <f t="shared" si="15"/>
        <v>0</v>
      </c>
      <c r="J142" s="445"/>
      <c r="K142" s="26">
        <v>0</v>
      </c>
      <c r="L142" s="445"/>
      <c r="M142" s="26">
        <v>0</v>
      </c>
    </row>
    <row r="143" spans="1:13" ht="12.6" customHeight="1">
      <c r="A143" s="434"/>
      <c r="B143" s="451" t="s">
        <v>554</v>
      </c>
      <c r="C143" s="443" t="s">
        <v>129</v>
      </c>
      <c r="D143" s="445"/>
      <c r="E143" s="26">
        <v>27000</v>
      </c>
      <c r="F143" s="445"/>
      <c r="G143" s="26">
        <v>0</v>
      </c>
      <c r="H143" s="445"/>
      <c r="I143" s="299">
        <f t="shared" si="15"/>
        <v>0</v>
      </c>
      <c r="J143" s="445"/>
      <c r="K143" s="26">
        <v>0</v>
      </c>
      <c r="L143" s="445"/>
      <c r="M143" s="26">
        <v>0</v>
      </c>
    </row>
    <row r="144" spans="1:13" ht="12.6" customHeight="1">
      <c r="A144" s="434"/>
      <c r="B144" s="451" t="s">
        <v>553</v>
      </c>
      <c r="C144" s="454" t="s">
        <v>174</v>
      </c>
      <c r="D144" s="445"/>
      <c r="E144" s="26">
        <v>33272</v>
      </c>
      <c r="F144" s="445"/>
      <c r="G144" s="26">
        <v>0</v>
      </c>
      <c r="H144" s="445"/>
      <c r="I144" s="299">
        <f t="shared" si="15"/>
        <v>0</v>
      </c>
      <c r="J144" s="445"/>
      <c r="K144" s="26">
        <v>0</v>
      </c>
      <c r="L144" s="445"/>
      <c r="M144" s="26">
        <v>0</v>
      </c>
    </row>
    <row r="145" spans="1:13" ht="12.6" customHeight="1">
      <c r="A145" s="434"/>
      <c r="B145" s="451" t="s">
        <v>786</v>
      </c>
      <c r="C145" s="454" t="s">
        <v>133</v>
      </c>
      <c r="D145" s="445"/>
      <c r="E145" s="26">
        <v>18000</v>
      </c>
      <c r="F145" s="445"/>
      <c r="G145" s="26">
        <v>0</v>
      </c>
      <c r="H145" s="445"/>
      <c r="I145" s="299">
        <f t="shared" si="15"/>
        <v>0</v>
      </c>
      <c r="J145" s="445"/>
      <c r="K145" s="26">
        <v>0</v>
      </c>
      <c r="L145" s="445"/>
      <c r="M145" s="26">
        <v>0</v>
      </c>
    </row>
    <row r="146" spans="1:13" ht="12.6" customHeight="1">
      <c r="A146" s="434"/>
      <c r="B146" s="451" t="s">
        <v>787</v>
      </c>
      <c r="C146" s="454" t="s">
        <v>144</v>
      </c>
      <c r="D146" s="445"/>
      <c r="E146" s="26">
        <v>3000</v>
      </c>
      <c r="F146" s="445"/>
      <c r="G146" s="26">
        <v>0</v>
      </c>
      <c r="H146" s="445"/>
      <c r="I146" s="299">
        <f t="shared" si="15"/>
        <v>0</v>
      </c>
      <c r="J146" s="445"/>
      <c r="K146" s="26">
        <v>0</v>
      </c>
      <c r="L146" s="445"/>
      <c r="M146" s="26">
        <v>0</v>
      </c>
    </row>
    <row r="147" spans="1:13" ht="12.6" customHeight="1">
      <c r="A147" s="434"/>
      <c r="B147" s="451" t="s">
        <v>544</v>
      </c>
      <c r="C147" s="443" t="s">
        <v>148</v>
      </c>
      <c r="D147" s="445"/>
      <c r="E147" s="26"/>
      <c r="F147" s="445"/>
      <c r="G147" s="26"/>
      <c r="H147" s="445"/>
      <c r="I147" s="26"/>
      <c r="J147" s="445"/>
      <c r="K147" s="26"/>
      <c r="L147" s="445"/>
      <c r="M147" s="26"/>
    </row>
    <row r="148" spans="1:13" ht="12.6" customHeight="1">
      <c r="A148" s="434"/>
      <c r="B148" s="451" t="s">
        <v>555</v>
      </c>
      <c r="C148" s="443"/>
      <c r="D148" s="445"/>
      <c r="E148" s="26">
        <v>22707</v>
      </c>
      <c r="F148" s="445"/>
      <c r="G148" s="26">
        <v>0</v>
      </c>
      <c r="H148" s="445"/>
      <c r="I148" s="299">
        <f>K148-G148</f>
        <v>0</v>
      </c>
      <c r="J148" s="445"/>
      <c r="K148" s="26">
        <v>0</v>
      </c>
      <c r="L148" s="445"/>
      <c r="M148" s="26">
        <v>0</v>
      </c>
    </row>
    <row r="149" spans="1:13" ht="12.6" customHeight="1">
      <c r="A149" s="434"/>
      <c r="B149" s="451" t="s">
        <v>526</v>
      </c>
      <c r="C149" s="443"/>
      <c r="D149" s="445"/>
      <c r="E149" s="26">
        <v>3000</v>
      </c>
      <c r="F149" s="445"/>
      <c r="G149" s="26">
        <v>0</v>
      </c>
      <c r="H149" s="445"/>
      <c r="I149" s="299">
        <f>K149-G149</f>
        <v>0</v>
      </c>
      <c r="J149" s="445"/>
      <c r="K149" s="26">
        <v>0</v>
      </c>
      <c r="L149" s="445"/>
      <c r="M149" s="26">
        <v>0</v>
      </c>
    </row>
    <row r="150" spans="1:13" ht="12.6" customHeight="1">
      <c r="A150" s="434"/>
      <c r="B150" s="451" t="s">
        <v>556</v>
      </c>
      <c r="C150" s="443"/>
      <c r="D150" s="445"/>
      <c r="E150" s="26">
        <v>178960.85</v>
      </c>
      <c r="F150" s="445"/>
      <c r="G150" s="26">
        <v>0</v>
      </c>
      <c r="H150" s="445"/>
      <c r="I150" s="299">
        <f>K150-G150</f>
        <v>0</v>
      </c>
      <c r="J150" s="445"/>
      <c r="K150" s="26">
        <v>0</v>
      </c>
      <c r="L150" s="445"/>
      <c r="M150" s="26">
        <v>0</v>
      </c>
    </row>
    <row r="151" spans="1:13" ht="12.6" customHeight="1">
      <c r="A151" s="434"/>
      <c r="B151" s="430" t="s">
        <v>602</v>
      </c>
      <c r="C151" s="431"/>
      <c r="D151" s="445"/>
      <c r="E151" s="26">
        <v>967500</v>
      </c>
      <c r="F151" s="445"/>
      <c r="G151" s="26">
        <v>0</v>
      </c>
      <c r="H151" s="445"/>
      <c r="I151" s="299">
        <f t="shared" ref="I151" si="16">K151-G151</f>
        <v>0</v>
      </c>
      <c r="J151" s="445"/>
      <c r="K151" s="26">
        <v>0</v>
      </c>
      <c r="L151" s="445"/>
      <c r="M151" s="26">
        <v>0</v>
      </c>
    </row>
    <row r="152" spans="1:13" ht="12.6" customHeight="1">
      <c r="A152" s="434" t="s">
        <v>1249</v>
      </c>
      <c r="B152" s="430"/>
      <c r="C152" s="431"/>
      <c r="D152" s="445"/>
      <c r="E152" s="26"/>
      <c r="F152" s="445"/>
      <c r="G152" s="26"/>
      <c r="H152" s="445"/>
      <c r="I152" s="26"/>
      <c r="J152" s="445"/>
      <c r="K152" s="26"/>
      <c r="L152" s="445"/>
      <c r="M152" s="26"/>
    </row>
    <row r="153" spans="1:13" ht="12.6" customHeight="1">
      <c r="A153" s="434" t="s">
        <v>572</v>
      </c>
      <c r="B153" s="430"/>
      <c r="C153" s="431"/>
      <c r="D153" s="445"/>
      <c r="E153" s="26"/>
      <c r="F153" s="445"/>
      <c r="G153" s="26"/>
      <c r="H153" s="445"/>
      <c r="I153" s="26"/>
      <c r="J153" s="445"/>
      <c r="K153" s="26"/>
      <c r="L153" s="445"/>
      <c r="M153" s="26"/>
    </row>
    <row r="154" spans="1:13" ht="12.6" customHeight="1">
      <c r="A154" s="434"/>
      <c r="B154" s="430" t="s">
        <v>521</v>
      </c>
      <c r="C154" s="431" t="s">
        <v>126</v>
      </c>
      <c r="D154" s="445"/>
      <c r="E154" s="26">
        <v>0</v>
      </c>
      <c r="F154" s="445"/>
      <c r="G154" s="26">
        <v>0</v>
      </c>
      <c r="H154" s="445"/>
      <c r="I154" s="299">
        <f>K154-G154</f>
        <v>15000</v>
      </c>
      <c r="J154" s="445"/>
      <c r="K154" s="26">
        <v>15000</v>
      </c>
      <c r="L154" s="445"/>
      <c r="M154" s="26">
        <v>15000</v>
      </c>
    </row>
    <row r="155" spans="1:13" ht="12.6" customHeight="1">
      <c r="A155" s="434"/>
      <c r="B155" s="430" t="s">
        <v>522</v>
      </c>
      <c r="C155" s="431" t="s">
        <v>129</v>
      </c>
      <c r="D155" s="445"/>
      <c r="E155" s="26">
        <v>0</v>
      </c>
      <c r="F155" s="445"/>
      <c r="G155" s="26">
        <v>0</v>
      </c>
      <c r="H155" s="445"/>
      <c r="I155" s="299">
        <f>K155-G155</f>
        <v>10000</v>
      </c>
      <c r="J155" s="445"/>
      <c r="K155" s="26">
        <v>10000</v>
      </c>
      <c r="L155" s="445"/>
      <c r="M155" s="26">
        <v>10000</v>
      </c>
    </row>
    <row r="156" spans="1:13" ht="12.6" customHeight="1">
      <c r="A156" s="434"/>
      <c r="B156" s="430" t="s">
        <v>523</v>
      </c>
      <c r="C156" s="446" t="s">
        <v>174</v>
      </c>
      <c r="D156" s="445"/>
      <c r="E156" s="26">
        <v>118211</v>
      </c>
      <c r="F156" s="445"/>
      <c r="G156" s="26">
        <v>0</v>
      </c>
      <c r="H156" s="445"/>
      <c r="I156" s="299">
        <f>K156-G156</f>
        <v>10000</v>
      </c>
      <c r="J156" s="445"/>
      <c r="K156" s="26">
        <v>10000</v>
      </c>
      <c r="L156" s="445"/>
      <c r="M156" s="26">
        <v>60000</v>
      </c>
    </row>
    <row r="157" spans="1:13" ht="12.6" customHeight="1">
      <c r="A157" s="434"/>
      <c r="B157" s="430" t="s">
        <v>543</v>
      </c>
      <c r="C157" s="446" t="s">
        <v>137</v>
      </c>
      <c r="D157" s="445"/>
      <c r="E157" s="26">
        <v>39000</v>
      </c>
      <c r="F157" s="445"/>
      <c r="G157" s="26">
        <v>0</v>
      </c>
      <c r="H157" s="445"/>
      <c r="I157" s="299">
        <f>K157-G157</f>
        <v>20000</v>
      </c>
      <c r="J157" s="445"/>
      <c r="K157" s="26">
        <v>20000</v>
      </c>
      <c r="L157" s="445"/>
      <c r="M157" s="26">
        <v>20000</v>
      </c>
    </row>
    <row r="158" spans="1:13" ht="12.6" customHeight="1">
      <c r="A158" s="434"/>
      <c r="B158" s="430" t="s">
        <v>544</v>
      </c>
      <c r="C158" s="431" t="s">
        <v>148</v>
      </c>
      <c r="D158" s="445"/>
      <c r="E158" s="26"/>
      <c r="F158" s="445"/>
      <c r="G158" s="26"/>
      <c r="H158" s="445"/>
      <c r="I158" s="26"/>
      <c r="J158" s="445"/>
      <c r="K158" s="26"/>
      <c r="L158" s="445"/>
      <c r="M158" s="26"/>
    </row>
    <row r="159" spans="1:13" ht="12.6" customHeight="1">
      <c r="A159" s="434"/>
      <c r="B159" s="430" t="s">
        <v>545</v>
      </c>
      <c r="C159" s="431"/>
      <c r="D159" s="445"/>
      <c r="E159" s="26"/>
      <c r="F159" s="445"/>
      <c r="G159" s="26"/>
      <c r="H159" s="445"/>
      <c r="I159" s="26"/>
      <c r="J159" s="445"/>
      <c r="K159" s="26"/>
      <c r="L159" s="445"/>
      <c r="M159" s="26"/>
    </row>
    <row r="160" spans="1:13" ht="12.6" customHeight="1">
      <c r="A160" s="434"/>
      <c r="B160" s="430" t="s">
        <v>529</v>
      </c>
      <c r="C160" s="431"/>
      <c r="D160" s="445"/>
      <c r="E160" s="26">
        <v>6000</v>
      </c>
      <c r="F160" s="445"/>
      <c r="G160" s="26">
        <v>0</v>
      </c>
      <c r="H160" s="445"/>
      <c r="I160" s="299">
        <f t="shared" ref="I160:I166" si="17">K160-G160</f>
        <v>0</v>
      </c>
      <c r="J160" s="445"/>
      <c r="K160" s="26">
        <v>0</v>
      </c>
      <c r="L160" s="445"/>
      <c r="M160" s="26">
        <v>0</v>
      </c>
    </row>
    <row r="161" spans="1:13" ht="12.6" customHeight="1">
      <c r="A161" s="434"/>
      <c r="B161" s="430" t="s">
        <v>525</v>
      </c>
      <c r="C161" s="431"/>
      <c r="D161" s="445"/>
      <c r="E161" s="26"/>
      <c r="F161" s="445"/>
      <c r="G161" s="26"/>
      <c r="H161" s="445"/>
      <c r="I161" s="299"/>
      <c r="J161" s="445"/>
      <c r="K161" s="26"/>
      <c r="L161" s="445"/>
      <c r="M161" s="26"/>
    </row>
    <row r="162" spans="1:13" ht="12.6" customHeight="1">
      <c r="A162" s="434"/>
      <c r="B162" s="430" t="s">
        <v>528</v>
      </c>
      <c r="C162" s="431"/>
      <c r="D162" s="445"/>
      <c r="E162" s="26">
        <v>0</v>
      </c>
      <c r="F162" s="445"/>
      <c r="G162" s="26">
        <v>0</v>
      </c>
      <c r="H162" s="445"/>
      <c r="I162" s="299">
        <f t="shared" si="17"/>
        <v>25000</v>
      </c>
      <c r="J162" s="445"/>
      <c r="K162" s="26">
        <v>25000</v>
      </c>
      <c r="L162" s="445"/>
      <c r="M162" s="26">
        <v>25000</v>
      </c>
    </row>
    <row r="163" spans="1:13" ht="12.6" customHeight="1">
      <c r="A163" s="434"/>
      <c r="B163" s="430" t="s">
        <v>526</v>
      </c>
      <c r="C163" s="431"/>
      <c r="D163" s="445"/>
      <c r="E163" s="26">
        <v>0</v>
      </c>
      <c r="F163" s="445"/>
      <c r="G163" s="26">
        <v>0</v>
      </c>
      <c r="H163" s="445"/>
      <c r="I163" s="299">
        <f t="shared" si="17"/>
        <v>20000</v>
      </c>
      <c r="J163" s="445"/>
      <c r="K163" s="26">
        <v>20000</v>
      </c>
      <c r="L163" s="445"/>
      <c r="M163" s="26">
        <v>20000</v>
      </c>
    </row>
    <row r="164" spans="1:13" ht="12.6" customHeight="1">
      <c r="A164" s="434"/>
      <c r="B164" s="430" t="s">
        <v>542</v>
      </c>
      <c r="C164" s="431"/>
      <c r="D164" s="445"/>
      <c r="E164" s="26">
        <v>103625</v>
      </c>
      <c r="F164" s="445"/>
      <c r="G164" s="26">
        <v>0</v>
      </c>
      <c r="H164" s="445"/>
      <c r="I164" s="299">
        <f t="shared" si="17"/>
        <v>100000</v>
      </c>
      <c r="J164" s="445"/>
      <c r="K164" s="26">
        <v>100000</v>
      </c>
      <c r="L164" s="445"/>
      <c r="M164" s="26">
        <v>100000</v>
      </c>
    </row>
    <row r="165" spans="1:13" ht="12.6" customHeight="1">
      <c r="A165" s="434"/>
      <c r="B165" s="430" t="s">
        <v>527</v>
      </c>
      <c r="C165" s="431"/>
      <c r="D165" s="445"/>
      <c r="E165" s="26">
        <v>40214</v>
      </c>
      <c r="F165" s="445"/>
      <c r="G165" s="26">
        <v>0</v>
      </c>
      <c r="H165" s="445"/>
      <c r="I165" s="299">
        <f t="shared" si="17"/>
        <v>50000</v>
      </c>
      <c r="J165" s="445"/>
      <c r="K165" s="26">
        <v>50000</v>
      </c>
      <c r="L165" s="445"/>
      <c r="M165" s="26">
        <v>0</v>
      </c>
    </row>
    <row r="166" spans="1:13" ht="12.6" customHeight="1">
      <c r="A166" s="434"/>
      <c r="B166" s="430" t="s">
        <v>602</v>
      </c>
      <c r="C166" s="431"/>
      <c r="D166" s="445"/>
      <c r="E166" s="26">
        <v>0</v>
      </c>
      <c r="F166" s="445"/>
      <c r="G166" s="26">
        <v>0</v>
      </c>
      <c r="H166" s="445"/>
      <c r="I166" s="299">
        <f t="shared" si="17"/>
        <v>1100000</v>
      </c>
      <c r="J166" s="445"/>
      <c r="K166" s="26">
        <v>1100000</v>
      </c>
      <c r="L166" s="445"/>
      <c r="M166" s="26">
        <v>1100000</v>
      </c>
    </row>
    <row r="167" spans="1:13" ht="12.6" customHeight="1">
      <c r="A167" s="434" t="s">
        <v>1250</v>
      </c>
      <c r="B167" s="430"/>
      <c r="C167" s="431"/>
      <c r="D167" s="445"/>
      <c r="E167" s="26"/>
      <c r="F167" s="445"/>
      <c r="G167" s="26"/>
      <c r="H167" s="445"/>
      <c r="I167" s="26"/>
      <c r="J167" s="445"/>
      <c r="K167" s="26"/>
      <c r="L167" s="445"/>
      <c r="M167" s="26"/>
    </row>
    <row r="168" spans="1:13" ht="12.6" customHeight="1">
      <c r="A168" s="434" t="s">
        <v>572</v>
      </c>
      <c r="B168" s="430"/>
      <c r="C168" s="431"/>
      <c r="D168" s="445"/>
      <c r="E168" s="26"/>
      <c r="F168" s="445"/>
      <c r="G168" s="26"/>
      <c r="H168" s="445"/>
      <c r="I168" s="26"/>
      <c r="J168" s="445"/>
      <c r="K168" s="26"/>
      <c r="L168" s="445"/>
      <c r="M168" s="26"/>
    </row>
    <row r="169" spans="1:13" ht="12.6" customHeight="1">
      <c r="A169" s="447"/>
      <c r="B169" s="448" t="s">
        <v>1350</v>
      </c>
      <c r="C169" s="449" t="s">
        <v>126</v>
      </c>
      <c r="D169" s="450"/>
      <c r="E169" s="31">
        <v>0</v>
      </c>
      <c r="F169" s="450"/>
      <c r="G169" s="31">
        <v>0</v>
      </c>
      <c r="H169" s="450"/>
      <c r="I169" s="302">
        <f>K169-G169</f>
        <v>0</v>
      </c>
      <c r="J169" s="450"/>
      <c r="K169" s="31">
        <v>0</v>
      </c>
      <c r="L169" s="450"/>
      <c r="M169" s="31">
        <v>50000</v>
      </c>
    </row>
    <row r="170" spans="1:13" ht="12.6" customHeight="1">
      <c r="A170" s="434"/>
      <c r="B170" s="430" t="s">
        <v>551</v>
      </c>
      <c r="C170" s="431" t="s">
        <v>127</v>
      </c>
      <c r="D170" s="445"/>
      <c r="E170" s="26">
        <v>0</v>
      </c>
      <c r="F170" s="445"/>
      <c r="G170" s="26">
        <v>0</v>
      </c>
      <c r="H170" s="445"/>
      <c r="I170" s="299">
        <f>K170-G170</f>
        <v>0</v>
      </c>
      <c r="J170" s="445"/>
      <c r="K170" s="26">
        <v>0</v>
      </c>
      <c r="L170" s="445"/>
      <c r="M170" s="26">
        <v>50000</v>
      </c>
    </row>
    <row r="171" spans="1:13" ht="12.6" customHeight="1">
      <c r="A171" s="434"/>
      <c r="B171" s="430" t="s">
        <v>522</v>
      </c>
      <c r="C171" s="431" t="s">
        <v>129</v>
      </c>
      <c r="D171" s="445"/>
      <c r="E171" s="26">
        <v>0</v>
      </c>
      <c r="F171" s="445"/>
      <c r="G171" s="26">
        <v>0</v>
      </c>
      <c r="H171" s="445"/>
      <c r="I171" s="299">
        <f>K171-G171</f>
        <v>10000</v>
      </c>
      <c r="J171" s="445"/>
      <c r="K171" s="26">
        <v>10000</v>
      </c>
      <c r="L171" s="445"/>
      <c r="M171" s="26">
        <v>50000</v>
      </c>
    </row>
    <row r="172" spans="1:13" ht="12.6" customHeight="1">
      <c r="A172" s="434"/>
      <c r="B172" s="430" t="s">
        <v>523</v>
      </c>
      <c r="C172" s="446" t="s">
        <v>174</v>
      </c>
      <c r="D172" s="445"/>
      <c r="E172" s="26">
        <v>0</v>
      </c>
      <c r="F172" s="445"/>
      <c r="G172" s="26">
        <v>0</v>
      </c>
      <c r="H172" s="445"/>
      <c r="I172" s="299">
        <f t="shared" ref="I172:I173" si="18">K172-G172</f>
        <v>130000</v>
      </c>
      <c r="J172" s="445"/>
      <c r="K172" s="26">
        <v>130000</v>
      </c>
      <c r="L172" s="445"/>
      <c r="M172" s="26">
        <v>50000</v>
      </c>
    </row>
    <row r="173" spans="1:13" ht="12.6" customHeight="1">
      <c r="A173" s="434"/>
      <c r="B173" s="451" t="s">
        <v>543</v>
      </c>
      <c r="C173" s="454" t="s">
        <v>137</v>
      </c>
      <c r="D173" s="445"/>
      <c r="E173" s="26">
        <v>0</v>
      </c>
      <c r="F173" s="445"/>
      <c r="G173" s="26">
        <v>0</v>
      </c>
      <c r="H173" s="445"/>
      <c r="I173" s="299">
        <f t="shared" si="18"/>
        <v>20000</v>
      </c>
      <c r="J173" s="445"/>
      <c r="K173" s="26">
        <v>20000</v>
      </c>
      <c r="L173" s="445"/>
      <c r="M173" s="26">
        <v>100000</v>
      </c>
    </row>
    <row r="174" spans="1:13" ht="12.6" customHeight="1">
      <c r="A174" s="434"/>
      <c r="B174" s="430" t="s">
        <v>544</v>
      </c>
      <c r="C174" s="443" t="s">
        <v>148</v>
      </c>
      <c r="D174" s="445"/>
      <c r="E174" s="26"/>
      <c r="F174" s="445"/>
      <c r="G174" s="26"/>
      <c r="H174" s="445"/>
      <c r="I174" s="26"/>
      <c r="J174" s="445"/>
      <c r="K174" s="26"/>
      <c r="L174" s="445"/>
      <c r="M174" s="26"/>
    </row>
    <row r="175" spans="1:13" ht="12.6" customHeight="1">
      <c r="A175" s="434"/>
      <c r="B175" s="430" t="s">
        <v>525</v>
      </c>
      <c r="C175" s="443"/>
      <c r="D175" s="445"/>
      <c r="E175" s="26"/>
      <c r="F175" s="445"/>
      <c r="G175" s="26"/>
      <c r="H175" s="445"/>
      <c r="I175" s="299"/>
      <c r="J175" s="445"/>
      <c r="K175" s="26"/>
      <c r="L175" s="445"/>
      <c r="M175" s="26"/>
    </row>
    <row r="176" spans="1:13" ht="12.6" customHeight="1">
      <c r="A176" s="434"/>
      <c r="B176" s="430" t="s">
        <v>528</v>
      </c>
      <c r="C176" s="443"/>
      <c r="D176" s="445"/>
      <c r="E176" s="26">
        <v>0</v>
      </c>
      <c r="F176" s="445"/>
      <c r="G176" s="26">
        <v>0</v>
      </c>
      <c r="H176" s="445"/>
      <c r="I176" s="299">
        <f>K176-G176</f>
        <v>50000</v>
      </c>
      <c r="J176" s="445"/>
      <c r="K176" s="26">
        <v>50000</v>
      </c>
      <c r="L176" s="445"/>
      <c r="M176" s="26">
        <v>50000</v>
      </c>
    </row>
    <row r="177" spans="1:13" ht="12.6" customHeight="1">
      <c r="A177" s="434"/>
      <c r="B177" s="430" t="s">
        <v>526</v>
      </c>
      <c r="C177" s="443"/>
      <c r="D177" s="445"/>
      <c r="E177" s="26">
        <v>0</v>
      </c>
      <c r="F177" s="445"/>
      <c r="G177" s="26">
        <v>0</v>
      </c>
      <c r="H177" s="445"/>
      <c r="I177" s="299">
        <f t="shared" ref="I177:I178" si="19">K177-G177</f>
        <v>10000</v>
      </c>
      <c r="J177" s="445"/>
      <c r="K177" s="26">
        <v>10000</v>
      </c>
      <c r="L177" s="445"/>
      <c r="M177" s="26">
        <v>50000</v>
      </c>
    </row>
    <row r="178" spans="1:13" ht="12.6" customHeight="1">
      <c r="A178" s="434"/>
      <c r="B178" s="430" t="s">
        <v>542</v>
      </c>
      <c r="C178" s="443"/>
      <c r="D178" s="445"/>
      <c r="E178" s="26">
        <v>0</v>
      </c>
      <c r="F178" s="445"/>
      <c r="G178" s="26">
        <v>0</v>
      </c>
      <c r="H178" s="445"/>
      <c r="I178" s="299">
        <f t="shared" si="19"/>
        <v>280000</v>
      </c>
      <c r="J178" s="445"/>
      <c r="K178" s="26">
        <v>280000</v>
      </c>
      <c r="L178" s="445"/>
      <c r="M178" s="26">
        <v>0</v>
      </c>
    </row>
    <row r="179" spans="1:13" ht="12.6" customHeight="1">
      <c r="A179" s="434" t="s">
        <v>572</v>
      </c>
      <c r="B179" s="430" t="s">
        <v>519</v>
      </c>
      <c r="C179" s="431"/>
      <c r="D179" s="445"/>
      <c r="E179" s="26"/>
      <c r="F179" s="445"/>
      <c r="G179" s="26"/>
      <c r="H179" s="445"/>
      <c r="I179" s="26"/>
      <c r="J179" s="445"/>
      <c r="K179" s="26"/>
      <c r="L179" s="445"/>
      <c r="M179" s="26"/>
    </row>
    <row r="180" spans="1:13" ht="12.6" customHeight="1">
      <c r="A180" s="434"/>
      <c r="B180" s="430" t="s">
        <v>1351</v>
      </c>
      <c r="C180" s="431" t="s">
        <v>1412</v>
      </c>
      <c r="D180" s="445"/>
      <c r="E180" s="26"/>
      <c r="F180" s="445"/>
      <c r="G180" s="26"/>
      <c r="H180" s="445"/>
      <c r="I180" s="299"/>
      <c r="J180" s="445"/>
      <c r="K180" s="26"/>
      <c r="L180" s="445"/>
      <c r="M180" s="26"/>
    </row>
    <row r="181" spans="1:13" ht="12.6" customHeight="1">
      <c r="A181" s="434"/>
      <c r="B181" s="430" t="s">
        <v>1352</v>
      </c>
      <c r="C181" s="431"/>
      <c r="D181" s="445"/>
      <c r="E181" s="26">
        <v>0</v>
      </c>
      <c r="F181" s="445"/>
      <c r="G181" s="26">
        <v>0</v>
      </c>
      <c r="H181" s="445"/>
      <c r="I181" s="299">
        <f>K181-G181</f>
        <v>0</v>
      </c>
      <c r="J181" s="445"/>
      <c r="K181" s="26">
        <v>0</v>
      </c>
      <c r="L181" s="445"/>
      <c r="M181" s="26">
        <v>1000000</v>
      </c>
    </row>
    <row r="182" spans="1:13" ht="12.6" customHeight="1">
      <c r="A182" s="434" t="s">
        <v>558</v>
      </c>
      <c r="B182" s="430"/>
      <c r="C182" s="443"/>
      <c r="D182" s="445"/>
      <c r="E182" s="26"/>
      <c r="F182" s="445"/>
      <c r="G182" s="26"/>
      <c r="H182" s="445"/>
      <c r="I182" s="26"/>
      <c r="J182" s="445"/>
      <c r="K182" s="26"/>
      <c r="L182" s="445"/>
      <c r="M182" s="26"/>
    </row>
    <row r="183" spans="1:13" ht="12.6" customHeight="1">
      <c r="A183" s="458" t="s">
        <v>1231</v>
      </c>
      <c r="B183" s="430"/>
      <c r="C183" s="443"/>
      <c r="D183" s="445"/>
      <c r="E183" s="26"/>
      <c r="F183" s="445"/>
      <c r="G183" s="26"/>
      <c r="H183" s="445"/>
      <c r="I183" s="26"/>
      <c r="J183" s="445"/>
      <c r="K183" s="26"/>
      <c r="L183" s="445"/>
      <c r="M183" s="26"/>
    </row>
    <row r="184" spans="1:13" ht="12.6" customHeight="1">
      <c r="A184" s="434" t="s">
        <v>606</v>
      </c>
      <c r="B184" s="430"/>
      <c r="C184" s="443"/>
      <c r="D184" s="445"/>
      <c r="E184" s="26"/>
      <c r="F184" s="445"/>
      <c r="G184" s="26"/>
      <c r="H184" s="445"/>
      <c r="I184" s="26"/>
      <c r="J184" s="445"/>
      <c r="K184" s="26"/>
      <c r="L184" s="445"/>
      <c r="M184" s="26"/>
    </row>
    <row r="185" spans="1:13" ht="12.6" customHeight="1">
      <c r="A185" s="434"/>
      <c r="B185" s="430" t="s">
        <v>521</v>
      </c>
      <c r="C185" s="443" t="s">
        <v>126</v>
      </c>
      <c r="D185" s="445"/>
      <c r="E185" s="26">
        <v>0</v>
      </c>
      <c r="F185" s="445"/>
      <c r="G185" s="26">
        <v>615</v>
      </c>
      <c r="H185" s="445"/>
      <c r="I185" s="299">
        <f t="shared" ref="I185:I190" si="20">K185-G185</f>
        <v>49385</v>
      </c>
      <c r="J185" s="445"/>
      <c r="K185" s="26">
        <v>50000</v>
      </c>
      <c r="L185" s="445"/>
      <c r="M185" s="26">
        <v>150000</v>
      </c>
    </row>
    <row r="186" spans="1:13" ht="12.6" customHeight="1">
      <c r="A186" s="434"/>
      <c r="B186" s="430" t="s">
        <v>551</v>
      </c>
      <c r="C186" s="443" t="s">
        <v>127</v>
      </c>
      <c r="D186" s="445"/>
      <c r="E186" s="26">
        <v>21000</v>
      </c>
      <c r="F186" s="445"/>
      <c r="G186" s="26">
        <v>0</v>
      </c>
      <c r="H186" s="445"/>
      <c r="I186" s="299">
        <f t="shared" si="20"/>
        <v>50000</v>
      </c>
      <c r="J186" s="445"/>
      <c r="K186" s="26">
        <v>50000</v>
      </c>
      <c r="L186" s="445"/>
      <c r="M186" s="26">
        <v>100000</v>
      </c>
    </row>
    <row r="187" spans="1:13" ht="12.6" customHeight="1">
      <c r="A187" s="434"/>
      <c r="B187" s="430" t="s">
        <v>552</v>
      </c>
      <c r="C187" s="443" t="s">
        <v>128</v>
      </c>
      <c r="D187" s="445"/>
      <c r="E187" s="26">
        <v>0</v>
      </c>
      <c r="F187" s="445"/>
      <c r="G187" s="26">
        <v>0</v>
      </c>
      <c r="H187" s="445"/>
      <c r="I187" s="299">
        <f t="shared" si="20"/>
        <v>40000</v>
      </c>
      <c r="J187" s="445"/>
      <c r="K187" s="26">
        <v>40000</v>
      </c>
      <c r="L187" s="445"/>
      <c r="M187" s="26">
        <v>40000</v>
      </c>
    </row>
    <row r="188" spans="1:13" ht="12.6" customHeight="1">
      <c r="A188" s="434"/>
      <c r="B188" s="430" t="s">
        <v>554</v>
      </c>
      <c r="C188" s="443" t="s">
        <v>129</v>
      </c>
      <c r="D188" s="445"/>
      <c r="E188" s="26">
        <v>0</v>
      </c>
      <c r="F188" s="445"/>
      <c r="G188" s="26">
        <v>0</v>
      </c>
      <c r="H188" s="445"/>
      <c r="I188" s="299">
        <f t="shared" si="20"/>
        <v>40000</v>
      </c>
      <c r="J188" s="445"/>
      <c r="K188" s="26">
        <v>40000</v>
      </c>
      <c r="L188" s="445"/>
      <c r="M188" s="26">
        <v>40000</v>
      </c>
    </row>
    <row r="189" spans="1:13" ht="12.6" customHeight="1">
      <c r="A189" s="434"/>
      <c r="B189" s="430" t="s">
        <v>553</v>
      </c>
      <c r="C189" s="454" t="s">
        <v>174</v>
      </c>
      <c r="D189" s="445"/>
      <c r="E189" s="26">
        <v>0</v>
      </c>
      <c r="F189" s="445"/>
      <c r="G189" s="26">
        <v>0</v>
      </c>
      <c r="H189" s="445"/>
      <c r="I189" s="299">
        <f t="shared" si="20"/>
        <v>30000</v>
      </c>
      <c r="J189" s="445"/>
      <c r="K189" s="26">
        <v>30000</v>
      </c>
      <c r="L189" s="445"/>
      <c r="M189" s="26">
        <v>30000</v>
      </c>
    </row>
    <row r="190" spans="1:13" ht="12.6" customHeight="1">
      <c r="A190" s="434"/>
      <c r="B190" s="430" t="s">
        <v>559</v>
      </c>
      <c r="C190" s="454" t="s">
        <v>137</v>
      </c>
      <c r="D190" s="445"/>
      <c r="E190" s="26">
        <v>3480</v>
      </c>
      <c r="F190" s="445"/>
      <c r="G190" s="26">
        <v>0</v>
      </c>
      <c r="H190" s="445"/>
      <c r="I190" s="299">
        <f t="shared" si="20"/>
        <v>20000</v>
      </c>
      <c r="J190" s="445"/>
      <c r="K190" s="26">
        <v>20000</v>
      </c>
      <c r="L190" s="445"/>
      <c r="M190" s="26">
        <v>20000</v>
      </c>
    </row>
    <row r="191" spans="1:13" ht="12.6" customHeight="1">
      <c r="A191" s="434"/>
      <c r="B191" s="430" t="s">
        <v>544</v>
      </c>
      <c r="C191" s="443" t="s">
        <v>148</v>
      </c>
      <c r="D191" s="445"/>
      <c r="E191" s="26"/>
      <c r="F191" s="445"/>
      <c r="G191" s="26"/>
      <c r="H191" s="445"/>
      <c r="I191" s="26"/>
      <c r="J191" s="445"/>
      <c r="K191" s="26"/>
      <c r="L191" s="445"/>
      <c r="M191" s="26"/>
    </row>
    <row r="192" spans="1:13" ht="12.6" customHeight="1">
      <c r="A192" s="434"/>
      <c r="B192" s="430" t="s">
        <v>560</v>
      </c>
      <c r="C192" s="443"/>
      <c r="D192" s="445"/>
      <c r="E192" s="26"/>
      <c r="F192" s="445"/>
      <c r="G192" s="26"/>
      <c r="H192" s="445"/>
      <c r="I192" s="26"/>
      <c r="J192" s="445"/>
      <c r="K192" s="26"/>
      <c r="L192" s="445"/>
      <c r="M192" s="26"/>
    </row>
    <row r="193" spans="1:13" ht="12.6" customHeight="1">
      <c r="A193" s="434"/>
      <c r="B193" s="430" t="s">
        <v>561</v>
      </c>
      <c r="C193" s="443"/>
      <c r="D193" s="445"/>
      <c r="E193" s="26">
        <v>14450</v>
      </c>
      <c r="F193" s="445"/>
      <c r="G193" s="26">
        <v>8050</v>
      </c>
      <c r="H193" s="445"/>
      <c r="I193" s="299">
        <f>K193-G193</f>
        <v>21950</v>
      </c>
      <c r="J193" s="445"/>
      <c r="K193" s="26">
        <v>30000</v>
      </c>
      <c r="L193" s="445"/>
      <c r="M193" s="26">
        <v>30000</v>
      </c>
    </row>
    <row r="194" spans="1:13" ht="12.6" customHeight="1">
      <c r="A194" s="434"/>
      <c r="B194" s="430" t="s">
        <v>562</v>
      </c>
      <c r="C194" s="443"/>
      <c r="D194" s="445"/>
      <c r="E194" s="26"/>
      <c r="F194" s="445"/>
      <c r="G194" s="26"/>
      <c r="H194" s="445"/>
      <c r="I194" s="26"/>
      <c r="J194" s="445"/>
      <c r="K194" s="26"/>
      <c r="L194" s="445"/>
      <c r="M194" s="26"/>
    </row>
    <row r="195" spans="1:13" ht="12.6" customHeight="1">
      <c r="A195" s="434"/>
      <c r="B195" s="430" t="s">
        <v>563</v>
      </c>
      <c r="C195" s="443"/>
      <c r="D195" s="445"/>
      <c r="E195" s="26">
        <v>35800</v>
      </c>
      <c r="F195" s="445"/>
      <c r="G195" s="26">
        <v>0</v>
      </c>
      <c r="H195" s="445"/>
      <c r="I195" s="299">
        <f>K195-G195</f>
        <v>100000</v>
      </c>
      <c r="J195" s="445"/>
      <c r="K195" s="26">
        <v>100000</v>
      </c>
      <c r="L195" s="445"/>
      <c r="M195" s="26">
        <v>100000</v>
      </c>
    </row>
    <row r="196" spans="1:13" ht="12.6" customHeight="1">
      <c r="A196" s="434"/>
      <c r="B196" s="430" t="s">
        <v>526</v>
      </c>
      <c r="C196" s="443"/>
      <c r="D196" s="445"/>
      <c r="E196" s="26">
        <v>1067900</v>
      </c>
      <c r="F196" s="445"/>
      <c r="G196" s="26">
        <v>521700</v>
      </c>
      <c r="H196" s="445"/>
      <c r="I196" s="299">
        <f>K196-G196</f>
        <v>1119300</v>
      </c>
      <c r="J196" s="445"/>
      <c r="K196" s="26">
        <v>1641000</v>
      </c>
      <c r="L196" s="445"/>
      <c r="M196" s="26">
        <v>1640000</v>
      </c>
    </row>
    <row r="197" spans="1:13" ht="12.6" customHeight="1">
      <c r="A197" s="458" t="s">
        <v>1232</v>
      </c>
      <c r="B197" s="430"/>
      <c r="C197" s="443"/>
      <c r="D197" s="445"/>
      <c r="E197" s="26"/>
      <c r="F197" s="445"/>
      <c r="G197" s="26"/>
      <c r="H197" s="445"/>
      <c r="I197" s="26"/>
      <c r="J197" s="445"/>
      <c r="K197" s="26"/>
      <c r="L197" s="445"/>
      <c r="M197" s="26"/>
    </row>
    <row r="198" spans="1:13" ht="12.6" customHeight="1">
      <c r="A198" s="458" t="s">
        <v>1233</v>
      </c>
      <c r="B198" s="430"/>
      <c r="C198" s="443"/>
      <c r="D198" s="445"/>
      <c r="E198" s="26"/>
      <c r="F198" s="445"/>
      <c r="G198" s="26"/>
      <c r="H198" s="445"/>
      <c r="I198" s="26"/>
      <c r="J198" s="445"/>
      <c r="K198" s="26"/>
      <c r="L198" s="445"/>
      <c r="M198" s="26"/>
    </row>
    <row r="199" spans="1:13" ht="12.6" customHeight="1">
      <c r="A199" s="434" t="s">
        <v>606</v>
      </c>
      <c r="B199" s="430"/>
      <c r="C199" s="443"/>
      <c r="D199" s="445"/>
      <c r="E199" s="26"/>
      <c r="F199" s="445"/>
      <c r="G199" s="26"/>
      <c r="H199" s="445"/>
      <c r="I199" s="26"/>
      <c r="J199" s="445"/>
      <c r="K199" s="26"/>
      <c r="L199" s="445"/>
      <c r="M199" s="26"/>
    </row>
    <row r="200" spans="1:13" ht="12.6" customHeight="1">
      <c r="A200" s="434"/>
      <c r="B200" s="430" t="s">
        <v>596</v>
      </c>
      <c r="C200" s="443" t="s">
        <v>128</v>
      </c>
      <c r="D200" s="445"/>
      <c r="E200" s="26" t="s">
        <v>54</v>
      </c>
      <c r="F200" s="445"/>
      <c r="G200" s="26">
        <v>0</v>
      </c>
      <c r="H200" s="445"/>
      <c r="I200" s="299">
        <f t="shared" ref="I200" si="21">K200-G200</f>
        <v>15000</v>
      </c>
      <c r="J200" s="445"/>
      <c r="K200" s="26">
        <v>15000</v>
      </c>
      <c r="L200" s="445"/>
      <c r="M200" s="26">
        <v>0</v>
      </c>
    </row>
    <row r="201" spans="1:13" ht="12.6" customHeight="1">
      <c r="A201" s="434"/>
      <c r="B201" s="430" t="s">
        <v>524</v>
      </c>
      <c r="C201" s="443" t="s">
        <v>148</v>
      </c>
      <c r="D201" s="445"/>
      <c r="E201" s="26"/>
      <c r="F201" s="445"/>
      <c r="G201" s="26"/>
      <c r="H201" s="445"/>
      <c r="I201" s="299"/>
      <c r="J201" s="445"/>
      <c r="K201" s="26"/>
      <c r="L201" s="445"/>
      <c r="M201" s="26"/>
    </row>
    <row r="202" spans="1:13" ht="12.6" customHeight="1">
      <c r="A202" s="434"/>
      <c r="B202" s="430" t="s">
        <v>770</v>
      </c>
      <c r="C202" s="443"/>
      <c r="D202" s="445"/>
      <c r="E202" s="26">
        <v>0</v>
      </c>
      <c r="F202" s="445"/>
      <c r="G202" s="26">
        <v>0</v>
      </c>
      <c r="H202" s="445"/>
      <c r="I202" s="299">
        <f t="shared" ref="I202:I203" si="22">K202-G202</f>
        <v>37500</v>
      </c>
      <c r="J202" s="445"/>
      <c r="K202" s="26">
        <v>37500</v>
      </c>
      <c r="L202" s="445"/>
      <c r="M202" s="26">
        <v>0</v>
      </c>
    </row>
    <row r="203" spans="1:13" ht="12.6" customHeight="1">
      <c r="A203" s="434"/>
      <c r="B203" s="430" t="s">
        <v>1234</v>
      </c>
      <c r="C203" s="443"/>
      <c r="D203" s="445"/>
      <c r="E203" s="26">
        <v>0</v>
      </c>
      <c r="F203" s="445"/>
      <c r="G203" s="26">
        <v>0</v>
      </c>
      <c r="H203" s="445"/>
      <c r="I203" s="299">
        <f t="shared" si="22"/>
        <v>10000</v>
      </c>
      <c r="J203" s="445"/>
      <c r="K203" s="26">
        <v>10000</v>
      </c>
      <c r="L203" s="445"/>
      <c r="M203" s="26">
        <v>0</v>
      </c>
    </row>
    <row r="204" spans="1:13" ht="12.6" customHeight="1">
      <c r="A204" s="458" t="s">
        <v>1235</v>
      </c>
      <c r="B204" s="430"/>
      <c r="C204" s="443"/>
      <c r="D204" s="445"/>
      <c r="E204" s="26"/>
      <c r="F204" s="445"/>
      <c r="G204" s="26"/>
      <c r="H204" s="445"/>
      <c r="I204" s="26"/>
      <c r="J204" s="445"/>
      <c r="K204" s="26"/>
      <c r="L204" s="445"/>
      <c r="M204" s="26"/>
    </row>
    <row r="205" spans="1:13" ht="12.6" customHeight="1">
      <c r="A205" s="434" t="s">
        <v>606</v>
      </c>
      <c r="B205" s="430"/>
      <c r="C205" s="443"/>
      <c r="D205" s="445"/>
      <c r="E205" s="26"/>
      <c r="F205" s="445"/>
      <c r="G205" s="26"/>
      <c r="H205" s="445"/>
      <c r="I205" s="26"/>
      <c r="J205" s="445"/>
      <c r="K205" s="26"/>
      <c r="L205" s="445"/>
      <c r="M205" s="26"/>
    </row>
    <row r="206" spans="1:13" ht="12.6" customHeight="1">
      <c r="A206" s="434"/>
      <c r="B206" s="430" t="s">
        <v>596</v>
      </c>
      <c r="C206" s="443" t="s">
        <v>128</v>
      </c>
      <c r="D206" s="445"/>
      <c r="E206" s="26">
        <v>0</v>
      </c>
      <c r="F206" s="445"/>
      <c r="G206" s="26">
        <v>0</v>
      </c>
      <c r="H206" s="445"/>
      <c r="I206" s="299">
        <f t="shared" ref="I206" si="23">K206-G206</f>
        <v>15000</v>
      </c>
      <c r="J206" s="445"/>
      <c r="K206" s="26">
        <v>15000</v>
      </c>
      <c r="L206" s="445"/>
      <c r="M206" s="26">
        <v>0</v>
      </c>
    </row>
    <row r="207" spans="1:13" ht="12.6" customHeight="1">
      <c r="A207" s="434"/>
      <c r="B207" s="430" t="s">
        <v>524</v>
      </c>
      <c r="C207" s="443" t="s">
        <v>148</v>
      </c>
      <c r="D207" s="445"/>
      <c r="E207" s="26"/>
      <c r="F207" s="445"/>
      <c r="G207" s="26"/>
      <c r="H207" s="445"/>
      <c r="I207" s="299"/>
      <c r="J207" s="445"/>
      <c r="K207" s="26"/>
      <c r="L207" s="445"/>
      <c r="M207" s="26"/>
    </row>
    <row r="208" spans="1:13" ht="12.6" customHeight="1">
      <c r="A208" s="434"/>
      <c r="B208" s="430" t="s">
        <v>770</v>
      </c>
      <c r="C208" s="443"/>
      <c r="D208" s="445"/>
      <c r="E208" s="26">
        <v>0</v>
      </c>
      <c r="F208" s="445"/>
      <c r="G208" s="26">
        <v>0</v>
      </c>
      <c r="H208" s="445"/>
      <c r="I208" s="299">
        <f t="shared" ref="I208:I209" si="24">K208-G208</f>
        <v>37500</v>
      </c>
      <c r="J208" s="445"/>
      <c r="K208" s="26">
        <v>37500</v>
      </c>
      <c r="L208" s="445"/>
      <c r="M208" s="26">
        <v>0</v>
      </c>
    </row>
    <row r="209" spans="1:13" ht="12.6" customHeight="1">
      <c r="A209" s="434"/>
      <c r="B209" s="430" t="s">
        <v>1234</v>
      </c>
      <c r="C209" s="443"/>
      <c r="D209" s="445"/>
      <c r="E209" s="26">
        <v>0</v>
      </c>
      <c r="F209" s="445"/>
      <c r="G209" s="26">
        <v>0</v>
      </c>
      <c r="H209" s="445"/>
      <c r="I209" s="299">
        <f t="shared" si="24"/>
        <v>10000</v>
      </c>
      <c r="J209" s="445"/>
      <c r="K209" s="26">
        <v>10000</v>
      </c>
      <c r="L209" s="445"/>
      <c r="M209" s="26">
        <v>0</v>
      </c>
    </row>
    <row r="210" spans="1:13" ht="12.6" customHeight="1">
      <c r="A210" s="458" t="s">
        <v>1236</v>
      </c>
      <c r="B210" s="430"/>
      <c r="C210" s="443"/>
      <c r="D210" s="445"/>
      <c r="E210" s="26"/>
      <c r="F210" s="445"/>
      <c r="G210" s="26"/>
      <c r="H210" s="445"/>
      <c r="I210" s="26"/>
      <c r="J210" s="445"/>
      <c r="K210" s="26"/>
      <c r="L210" s="445"/>
      <c r="M210" s="26"/>
    </row>
    <row r="211" spans="1:13" ht="12.6" customHeight="1">
      <c r="A211" s="434" t="s">
        <v>606</v>
      </c>
      <c r="B211" s="430"/>
      <c r="C211" s="443"/>
      <c r="D211" s="445"/>
      <c r="E211" s="26"/>
      <c r="F211" s="445"/>
      <c r="G211" s="26"/>
      <c r="H211" s="445"/>
      <c r="I211" s="26"/>
      <c r="J211" s="445"/>
      <c r="K211" s="26"/>
      <c r="L211" s="445"/>
      <c r="M211" s="26"/>
    </row>
    <row r="212" spans="1:13" ht="12.6" customHeight="1">
      <c r="A212" s="434"/>
      <c r="B212" s="430" t="s">
        <v>521</v>
      </c>
      <c r="C212" s="443" t="s">
        <v>126</v>
      </c>
      <c r="D212" s="445"/>
      <c r="E212" s="26">
        <v>0</v>
      </c>
      <c r="F212" s="445"/>
      <c r="G212" s="26">
        <v>1200</v>
      </c>
      <c r="H212" s="445"/>
      <c r="I212" s="299">
        <f t="shared" ref="I212:I214" si="25">K212-G212</f>
        <v>13800</v>
      </c>
      <c r="J212" s="445"/>
      <c r="K212" s="26">
        <v>15000</v>
      </c>
      <c r="L212" s="445"/>
      <c r="M212" s="26">
        <v>0</v>
      </c>
    </row>
    <row r="213" spans="1:13" ht="12.6" customHeight="1">
      <c r="A213" s="434"/>
      <c r="B213" s="430" t="s">
        <v>596</v>
      </c>
      <c r="C213" s="443" t="s">
        <v>128</v>
      </c>
      <c r="D213" s="445"/>
      <c r="E213" s="26">
        <v>0</v>
      </c>
      <c r="F213" s="445"/>
      <c r="G213" s="26">
        <v>0</v>
      </c>
      <c r="H213" s="445"/>
      <c r="I213" s="299">
        <f t="shared" si="25"/>
        <v>5000</v>
      </c>
      <c r="J213" s="445"/>
      <c r="K213" s="26">
        <v>5000</v>
      </c>
      <c r="L213" s="445"/>
      <c r="M213" s="26">
        <v>0</v>
      </c>
    </row>
    <row r="214" spans="1:13" ht="12.6" customHeight="1">
      <c r="A214" s="434"/>
      <c r="B214" s="430" t="s">
        <v>541</v>
      </c>
      <c r="C214" s="443" t="s">
        <v>137</v>
      </c>
      <c r="D214" s="445"/>
      <c r="E214" s="26">
        <v>0</v>
      </c>
      <c r="F214" s="445"/>
      <c r="G214" s="26">
        <v>0</v>
      </c>
      <c r="H214" s="445"/>
      <c r="I214" s="299">
        <f t="shared" si="25"/>
        <v>5000</v>
      </c>
      <c r="J214" s="445"/>
      <c r="K214" s="26">
        <v>5000</v>
      </c>
      <c r="L214" s="445"/>
      <c r="M214" s="26">
        <v>0</v>
      </c>
    </row>
    <row r="215" spans="1:13" ht="12.6" customHeight="1">
      <c r="A215" s="434" t="s">
        <v>1251</v>
      </c>
      <c r="B215" s="430"/>
      <c r="C215" s="443"/>
      <c r="D215" s="445"/>
      <c r="E215" s="26"/>
      <c r="F215" s="445"/>
      <c r="G215" s="26"/>
      <c r="H215" s="445"/>
      <c r="I215" s="26"/>
      <c r="J215" s="445"/>
      <c r="K215" s="26"/>
      <c r="L215" s="445"/>
      <c r="M215" s="26"/>
    </row>
    <row r="216" spans="1:13" ht="12.6" customHeight="1">
      <c r="A216" s="434" t="s">
        <v>1252</v>
      </c>
      <c r="B216" s="430"/>
      <c r="C216" s="443"/>
      <c r="D216" s="445"/>
      <c r="E216" s="26"/>
      <c r="F216" s="445"/>
      <c r="G216" s="26"/>
      <c r="H216" s="445"/>
      <c r="I216" s="26"/>
      <c r="J216" s="445"/>
      <c r="K216" s="26"/>
      <c r="L216" s="445"/>
      <c r="M216" s="26"/>
    </row>
    <row r="217" spans="1:13" ht="12.6" customHeight="1">
      <c r="A217" s="434" t="s">
        <v>608</v>
      </c>
      <c r="B217" s="430" t="s">
        <v>595</v>
      </c>
      <c r="C217" s="431"/>
      <c r="D217" s="445"/>
      <c r="E217" s="26"/>
      <c r="F217" s="445"/>
      <c r="G217" s="26"/>
      <c r="H217" s="445"/>
      <c r="I217" s="26"/>
      <c r="J217" s="445"/>
      <c r="K217" s="26"/>
      <c r="L217" s="445"/>
      <c r="M217" s="26"/>
    </row>
    <row r="218" spans="1:13" ht="12.6" customHeight="1">
      <c r="A218" s="434"/>
      <c r="B218" s="430" t="s">
        <v>42</v>
      </c>
      <c r="C218" s="431" t="s">
        <v>127</v>
      </c>
      <c r="D218" s="445"/>
      <c r="E218" s="26">
        <v>57375</v>
      </c>
      <c r="F218" s="445"/>
      <c r="G218" s="26">
        <v>0</v>
      </c>
      <c r="H218" s="445"/>
      <c r="I218" s="299">
        <f>K218-G218</f>
        <v>0</v>
      </c>
      <c r="J218" s="445"/>
      <c r="K218" s="26">
        <v>0</v>
      </c>
      <c r="L218" s="445"/>
      <c r="M218" s="26"/>
    </row>
    <row r="219" spans="1:13" ht="12.6" customHeight="1">
      <c r="A219" s="434"/>
      <c r="B219" s="430" t="s">
        <v>28</v>
      </c>
      <c r="C219" s="431" t="s">
        <v>128</v>
      </c>
      <c r="D219" s="445"/>
      <c r="E219" s="26">
        <v>10639</v>
      </c>
      <c r="F219" s="445"/>
      <c r="G219" s="26">
        <v>0</v>
      </c>
      <c r="H219" s="445"/>
      <c r="I219" s="299">
        <f>K219-G219</f>
        <v>17500</v>
      </c>
      <c r="J219" s="445"/>
      <c r="K219" s="26">
        <v>17500</v>
      </c>
      <c r="L219" s="445"/>
      <c r="M219" s="26">
        <v>17500</v>
      </c>
    </row>
    <row r="220" spans="1:13" ht="12.6" customHeight="1">
      <c r="A220" s="434"/>
      <c r="B220" s="430" t="s">
        <v>609</v>
      </c>
      <c r="C220" s="431" t="s">
        <v>129</v>
      </c>
      <c r="D220" s="445"/>
      <c r="E220" s="26">
        <v>63172.01</v>
      </c>
      <c r="F220" s="445"/>
      <c r="G220" s="26">
        <v>36364.28</v>
      </c>
      <c r="H220" s="445"/>
      <c r="I220" s="299">
        <f>K220-G220</f>
        <v>143635.72</v>
      </c>
      <c r="J220" s="445"/>
      <c r="K220" s="26">
        <v>180000</v>
      </c>
      <c r="L220" s="445"/>
      <c r="M220" s="26">
        <v>180000</v>
      </c>
    </row>
    <row r="221" spans="1:13" ht="12.6" customHeight="1">
      <c r="A221" s="447"/>
      <c r="B221" s="448" t="s">
        <v>500</v>
      </c>
      <c r="C221" s="449" t="s">
        <v>137</v>
      </c>
      <c r="D221" s="450"/>
      <c r="E221" s="31"/>
      <c r="F221" s="450"/>
      <c r="G221" s="31">
        <v>0</v>
      </c>
      <c r="H221" s="450"/>
      <c r="I221" s="302">
        <f>K221-G221</f>
        <v>2500</v>
      </c>
      <c r="J221" s="450"/>
      <c r="K221" s="31">
        <v>2500</v>
      </c>
      <c r="L221" s="450"/>
      <c r="M221" s="31">
        <v>2500</v>
      </c>
    </row>
    <row r="222" spans="1:13" ht="12.6" customHeight="1">
      <c r="A222" s="434"/>
      <c r="B222" s="430" t="s">
        <v>610</v>
      </c>
      <c r="C222" s="431" t="s">
        <v>148</v>
      </c>
      <c r="D222" s="445"/>
      <c r="E222" s="26"/>
      <c r="F222" s="445"/>
      <c r="G222" s="26"/>
      <c r="H222" s="445"/>
      <c r="I222" s="26"/>
      <c r="J222" s="445"/>
      <c r="K222" s="26"/>
      <c r="L222" s="445"/>
      <c r="M222" s="26"/>
    </row>
    <row r="223" spans="1:13" ht="12.6" customHeight="1">
      <c r="A223" s="434"/>
      <c r="B223" s="430" t="s">
        <v>611</v>
      </c>
      <c r="C223" s="431"/>
      <c r="D223" s="445"/>
      <c r="E223" s="26">
        <v>16875</v>
      </c>
      <c r="F223" s="445"/>
      <c r="G223" s="26">
        <v>0</v>
      </c>
      <c r="H223" s="445"/>
      <c r="I223" s="299">
        <f>K223-G223</f>
        <v>25000</v>
      </c>
      <c r="J223" s="445"/>
      <c r="K223" s="26">
        <v>25000</v>
      </c>
      <c r="L223" s="445"/>
      <c r="M223" s="26">
        <v>25000</v>
      </c>
    </row>
    <row r="224" spans="1:13" ht="12.6" customHeight="1">
      <c r="A224" s="434" t="s">
        <v>1253</v>
      </c>
      <c r="B224" s="430"/>
      <c r="C224" s="431"/>
      <c r="D224" s="445"/>
      <c r="E224" s="26"/>
      <c r="F224" s="445"/>
      <c r="G224" s="26"/>
      <c r="H224" s="445"/>
      <c r="I224" s="26"/>
      <c r="J224" s="445"/>
      <c r="K224" s="26"/>
      <c r="L224" s="445"/>
      <c r="M224" s="26"/>
    </row>
    <row r="225" spans="1:13" ht="12.6" customHeight="1">
      <c r="A225" s="434" t="s">
        <v>608</v>
      </c>
      <c r="B225" s="430" t="s">
        <v>595</v>
      </c>
      <c r="C225" s="431"/>
      <c r="D225" s="445"/>
      <c r="E225" s="26"/>
      <c r="F225" s="445"/>
      <c r="G225" s="26"/>
      <c r="H225" s="445"/>
      <c r="I225" s="299"/>
      <c r="J225" s="445"/>
      <c r="K225" s="26"/>
      <c r="L225" s="445"/>
      <c r="M225" s="26"/>
    </row>
    <row r="226" spans="1:13" ht="12.6" customHeight="1">
      <c r="A226" s="434"/>
      <c r="B226" s="430" t="s">
        <v>28</v>
      </c>
      <c r="C226" s="431" t="s">
        <v>128</v>
      </c>
      <c r="D226" s="445"/>
      <c r="E226" s="26"/>
      <c r="F226" s="445"/>
      <c r="G226" s="26">
        <v>0</v>
      </c>
      <c r="H226" s="445"/>
      <c r="I226" s="299">
        <f t="shared" ref="I226:I233" si="26">K226-G226</f>
        <v>56000</v>
      </c>
      <c r="J226" s="445"/>
      <c r="K226" s="26">
        <v>56000</v>
      </c>
      <c r="L226" s="445"/>
      <c r="M226" s="26">
        <v>56000</v>
      </c>
    </row>
    <row r="227" spans="1:13" ht="12.6" customHeight="1">
      <c r="A227" s="434"/>
      <c r="B227" s="430" t="s">
        <v>502</v>
      </c>
      <c r="C227" s="431" t="s">
        <v>174</v>
      </c>
      <c r="D227" s="445"/>
      <c r="E227" s="26"/>
      <c r="F227" s="445"/>
      <c r="G227" s="26">
        <v>0</v>
      </c>
      <c r="H227" s="445"/>
      <c r="I227" s="299">
        <f t="shared" si="26"/>
        <v>12000</v>
      </c>
      <c r="J227" s="445"/>
      <c r="K227" s="26">
        <v>12000</v>
      </c>
      <c r="L227" s="445"/>
      <c r="M227" s="26">
        <v>12000</v>
      </c>
    </row>
    <row r="228" spans="1:13" ht="12.6" customHeight="1">
      <c r="A228" s="434"/>
      <c r="B228" s="430" t="s">
        <v>609</v>
      </c>
      <c r="C228" s="431" t="s">
        <v>129</v>
      </c>
      <c r="D228" s="445"/>
      <c r="E228" s="26"/>
      <c r="F228" s="445"/>
      <c r="G228" s="26">
        <v>0</v>
      </c>
      <c r="H228" s="445"/>
      <c r="I228" s="299">
        <f t="shared" si="26"/>
        <v>262000</v>
      </c>
      <c r="J228" s="445"/>
      <c r="K228" s="26">
        <v>262000</v>
      </c>
      <c r="L228" s="445"/>
      <c r="M228" s="26">
        <v>262000</v>
      </c>
    </row>
    <row r="229" spans="1:13" ht="12.6" customHeight="1">
      <c r="A229" s="434"/>
      <c r="B229" s="430" t="s">
        <v>1237</v>
      </c>
      <c r="C229" s="29" t="s">
        <v>166</v>
      </c>
      <c r="D229" s="445"/>
      <c r="E229" s="26">
        <v>0</v>
      </c>
      <c r="F229" s="445"/>
      <c r="G229" s="26">
        <v>0</v>
      </c>
      <c r="H229" s="445"/>
      <c r="I229" s="299">
        <f t="shared" si="26"/>
        <v>6000</v>
      </c>
      <c r="J229" s="445"/>
      <c r="K229" s="26">
        <v>6000</v>
      </c>
      <c r="L229" s="445"/>
      <c r="M229" s="26">
        <v>6000</v>
      </c>
    </row>
    <row r="230" spans="1:13" ht="12.6" customHeight="1">
      <c r="A230" s="434"/>
      <c r="B230" s="430" t="s">
        <v>1238</v>
      </c>
      <c r="C230" s="29" t="s">
        <v>167</v>
      </c>
      <c r="D230" s="445"/>
      <c r="E230" s="26">
        <v>0</v>
      </c>
      <c r="F230" s="445"/>
      <c r="G230" s="26">
        <v>0</v>
      </c>
      <c r="H230" s="445"/>
      <c r="I230" s="299">
        <f t="shared" si="26"/>
        <v>14000</v>
      </c>
      <c r="J230" s="445"/>
      <c r="K230" s="26">
        <v>14000</v>
      </c>
      <c r="L230" s="445"/>
      <c r="M230" s="26">
        <v>14000</v>
      </c>
    </row>
    <row r="231" spans="1:13" ht="12.6" customHeight="1">
      <c r="A231" s="434"/>
      <c r="B231" s="430" t="s">
        <v>1239</v>
      </c>
      <c r="C231" s="29" t="s">
        <v>133</v>
      </c>
      <c r="D231" s="445"/>
      <c r="E231" s="26">
        <v>0</v>
      </c>
      <c r="F231" s="445"/>
      <c r="G231" s="26">
        <v>0</v>
      </c>
      <c r="H231" s="445"/>
      <c r="I231" s="299">
        <f t="shared" si="26"/>
        <v>4000</v>
      </c>
      <c r="J231" s="445"/>
      <c r="K231" s="26">
        <v>4000</v>
      </c>
      <c r="L231" s="445"/>
      <c r="M231" s="26">
        <v>4000</v>
      </c>
    </row>
    <row r="232" spans="1:13" ht="12.6" customHeight="1">
      <c r="A232" s="434"/>
      <c r="B232" s="430" t="s">
        <v>788</v>
      </c>
      <c r="C232" s="431" t="s">
        <v>144</v>
      </c>
      <c r="D232" s="445"/>
      <c r="E232" s="26"/>
      <c r="F232" s="445"/>
      <c r="G232" s="26">
        <v>6240</v>
      </c>
      <c r="H232" s="445"/>
      <c r="I232" s="299">
        <f t="shared" si="26"/>
        <v>93760</v>
      </c>
      <c r="J232" s="445"/>
      <c r="K232" s="26">
        <v>100000</v>
      </c>
      <c r="L232" s="445"/>
      <c r="M232" s="26">
        <v>100000</v>
      </c>
    </row>
    <row r="233" spans="1:13" ht="12.6" customHeight="1">
      <c r="A233" s="434"/>
      <c r="B233" s="430" t="s">
        <v>1240</v>
      </c>
      <c r="C233" s="431" t="s">
        <v>557</v>
      </c>
      <c r="D233" s="445"/>
      <c r="E233" s="26">
        <v>0</v>
      </c>
      <c r="F233" s="445"/>
      <c r="G233" s="26">
        <v>0</v>
      </c>
      <c r="H233" s="445"/>
      <c r="I233" s="299">
        <f t="shared" si="26"/>
        <v>20000</v>
      </c>
      <c r="J233" s="445"/>
      <c r="K233" s="26">
        <v>20000</v>
      </c>
      <c r="L233" s="445"/>
      <c r="M233" s="26">
        <v>20000</v>
      </c>
    </row>
    <row r="234" spans="1:13" ht="12.6" customHeight="1">
      <c r="A234" s="434"/>
      <c r="B234" s="430" t="s">
        <v>610</v>
      </c>
      <c r="C234" s="431" t="s">
        <v>148</v>
      </c>
      <c r="D234" s="445"/>
      <c r="E234" s="26"/>
      <c r="F234" s="445"/>
      <c r="G234" s="26">
        <v>0</v>
      </c>
      <c r="H234" s="445"/>
      <c r="I234" s="26"/>
      <c r="J234" s="445"/>
      <c r="K234" s="26"/>
      <c r="L234" s="445"/>
      <c r="M234" s="26"/>
    </row>
    <row r="235" spans="1:13" ht="12.6" customHeight="1">
      <c r="A235" s="434"/>
      <c r="B235" s="430" t="s">
        <v>1242</v>
      </c>
      <c r="C235" s="431"/>
      <c r="D235" s="445"/>
      <c r="E235" s="26"/>
      <c r="F235" s="445"/>
      <c r="G235" s="26">
        <v>0</v>
      </c>
      <c r="H235" s="445"/>
      <c r="I235" s="299">
        <f>K235-G235</f>
        <v>10000</v>
      </c>
      <c r="J235" s="445"/>
      <c r="K235" s="26">
        <v>10000</v>
      </c>
      <c r="L235" s="445"/>
      <c r="M235" s="26">
        <v>10000</v>
      </c>
    </row>
    <row r="236" spans="1:13" ht="12.6" customHeight="1">
      <c r="A236" s="434"/>
      <c r="B236" s="430" t="s">
        <v>1241</v>
      </c>
      <c r="C236" s="431"/>
      <c r="D236" s="445"/>
      <c r="E236" s="26">
        <v>0</v>
      </c>
      <c r="F236" s="445"/>
      <c r="G236" s="26">
        <v>0</v>
      </c>
      <c r="H236" s="445"/>
      <c r="I236" s="299">
        <f>K236-G236</f>
        <v>60000</v>
      </c>
      <c r="J236" s="445"/>
      <c r="K236" s="26">
        <v>60000</v>
      </c>
      <c r="L236" s="445"/>
      <c r="M236" s="26">
        <v>60000</v>
      </c>
    </row>
    <row r="237" spans="1:13" ht="12.6" customHeight="1">
      <c r="A237" s="434"/>
      <c r="B237" s="430" t="s">
        <v>612</v>
      </c>
      <c r="C237" s="431"/>
      <c r="D237" s="445"/>
      <c r="E237" s="26">
        <v>17600</v>
      </c>
      <c r="F237" s="445"/>
      <c r="G237" s="26">
        <v>30000</v>
      </c>
      <c r="H237" s="445"/>
      <c r="I237" s="299">
        <f>K237-G237</f>
        <v>126000</v>
      </c>
      <c r="J237" s="445"/>
      <c r="K237" s="26">
        <v>156000</v>
      </c>
      <c r="L237" s="445"/>
      <c r="M237" s="26">
        <v>156000</v>
      </c>
    </row>
    <row r="238" spans="1:13" ht="12.6" customHeight="1">
      <c r="A238" s="434" t="s">
        <v>1254</v>
      </c>
      <c r="B238" s="430"/>
      <c r="C238" s="431"/>
      <c r="D238" s="445"/>
      <c r="E238" s="26"/>
      <c r="F238" s="445"/>
      <c r="G238" s="26"/>
      <c r="H238" s="445"/>
      <c r="I238" s="26"/>
      <c r="J238" s="445"/>
      <c r="K238" s="26"/>
      <c r="L238" s="445"/>
      <c r="M238" s="26"/>
    </row>
    <row r="239" spans="1:13" ht="12.6" customHeight="1">
      <c r="A239" s="434" t="s">
        <v>608</v>
      </c>
      <c r="B239" s="430" t="s">
        <v>595</v>
      </c>
      <c r="C239" s="431"/>
      <c r="D239" s="445"/>
      <c r="E239" s="26"/>
      <c r="F239" s="445"/>
      <c r="G239" s="26"/>
      <c r="H239" s="445"/>
      <c r="I239" s="299">
        <f>K239-G239</f>
        <v>0</v>
      </c>
      <c r="J239" s="445"/>
      <c r="K239" s="26"/>
      <c r="L239" s="445"/>
      <c r="M239" s="26"/>
    </row>
    <row r="240" spans="1:13" ht="12.6" customHeight="1">
      <c r="A240" s="434"/>
      <c r="B240" s="430" t="s">
        <v>502</v>
      </c>
      <c r="C240" s="431" t="s">
        <v>174</v>
      </c>
      <c r="D240" s="445"/>
      <c r="E240" s="26">
        <v>4000</v>
      </c>
      <c r="F240" s="445"/>
      <c r="G240" s="26">
        <v>0</v>
      </c>
      <c r="H240" s="445"/>
      <c r="I240" s="299">
        <f>K240-G240</f>
        <v>0</v>
      </c>
      <c r="J240" s="445"/>
      <c r="K240" s="26">
        <v>0</v>
      </c>
      <c r="L240" s="445"/>
      <c r="M240" s="26">
        <v>0</v>
      </c>
    </row>
    <row r="241" spans="1:13" ht="12.6" customHeight="1">
      <c r="A241" s="434"/>
      <c r="B241" s="430" t="s">
        <v>609</v>
      </c>
      <c r="C241" s="431" t="s">
        <v>129</v>
      </c>
      <c r="D241" s="445"/>
      <c r="E241" s="26">
        <v>71776.179999999993</v>
      </c>
      <c r="F241" s="445"/>
      <c r="G241" s="26">
        <v>0</v>
      </c>
      <c r="H241" s="445"/>
      <c r="I241" s="299">
        <f>K241-G241</f>
        <v>0</v>
      </c>
      <c r="J241" s="445"/>
      <c r="K241" s="26">
        <v>0</v>
      </c>
      <c r="L241" s="445"/>
      <c r="M241" s="26">
        <v>0</v>
      </c>
    </row>
    <row r="242" spans="1:13" ht="12.6" customHeight="1">
      <c r="A242" s="434"/>
      <c r="B242" s="430" t="s">
        <v>788</v>
      </c>
      <c r="C242" s="431" t="s">
        <v>144</v>
      </c>
      <c r="D242" s="445"/>
      <c r="E242" s="26">
        <v>55900</v>
      </c>
      <c r="F242" s="445"/>
      <c r="G242" s="26">
        <v>0</v>
      </c>
      <c r="H242" s="445"/>
      <c r="I242" s="299">
        <f>K242-G242</f>
        <v>0</v>
      </c>
      <c r="J242" s="445"/>
      <c r="K242" s="26">
        <v>0</v>
      </c>
      <c r="L242" s="445"/>
      <c r="M242" s="26">
        <v>0</v>
      </c>
    </row>
    <row r="243" spans="1:13" ht="12.6" customHeight="1">
      <c r="A243" s="434"/>
      <c r="B243" s="430" t="s">
        <v>610</v>
      </c>
      <c r="C243" s="431" t="s">
        <v>148</v>
      </c>
      <c r="D243" s="445"/>
      <c r="E243" s="26"/>
      <c r="F243" s="445"/>
      <c r="G243" s="26"/>
      <c r="H243" s="445"/>
      <c r="I243" s="26"/>
      <c r="J243" s="445"/>
      <c r="K243" s="26"/>
      <c r="L243" s="445"/>
      <c r="M243" s="26"/>
    </row>
    <row r="244" spans="1:13" ht="12.6" customHeight="1">
      <c r="A244" s="434"/>
      <c r="B244" s="430" t="s">
        <v>612</v>
      </c>
      <c r="C244" s="431"/>
      <c r="D244" s="445"/>
      <c r="E244" s="26">
        <v>12000</v>
      </c>
      <c r="F244" s="445"/>
      <c r="G244" s="26">
        <v>0</v>
      </c>
      <c r="H244" s="445"/>
      <c r="I244" s="299">
        <f>K244-G244</f>
        <v>0</v>
      </c>
      <c r="J244" s="445"/>
      <c r="K244" s="26">
        <v>0</v>
      </c>
      <c r="L244" s="445"/>
      <c r="M244" s="26">
        <v>0</v>
      </c>
    </row>
    <row r="245" spans="1:13" ht="12.6" customHeight="1">
      <c r="A245" s="434" t="s">
        <v>1255</v>
      </c>
      <c r="B245" s="430"/>
      <c r="C245" s="431"/>
      <c r="D245" s="445"/>
      <c r="E245" s="26"/>
      <c r="F245" s="445"/>
      <c r="G245" s="26"/>
      <c r="H245" s="445"/>
      <c r="I245" s="26"/>
      <c r="J245" s="445"/>
      <c r="K245" s="26"/>
      <c r="L245" s="445"/>
      <c r="M245" s="26"/>
    </row>
    <row r="246" spans="1:13" ht="12.6" customHeight="1">
      <c r="A246" s="434" t="s">
        <v>608</v>
      </c>
      <c r="B246" s="430" t="s">
        <v>595</v>
      </c>
      <c r="C246" s="431"/>
      <c r="D246" s="445"/>
      <c r="E246" s="26"/>
      <c r="F246" s="445"/>
      <c r="G246" s="26"/>
      <c r="H246" s="445"/>
      <c r="I246" s="26"/>
      <c r="J246" s="445"/>
      <c r="K246" s="26"/>
      <c r="L246" s="445"/>
      <c r="M246" s="26"/>
    </row>
    <row r="247" spans="1:13" ht="12.6" customHeight="1">
      <c r="A247" s="434"/>
      <c r="B247" s="430" t="s">
        <v>613</v>
      </c>
      <c r="C247" s="431" t="s">
        <v>126</v>
      </c>
      <c r="D247" s="445"/>
      <c r="E247" s="26">
        <v>15980</v>
      </c>
      <c r="F247" s="445"/>
      <c r="G247" s="26">
        <v>1019</v>
      </c>
      <c r="H247" s="445"/>
      <c r="I247" s="299">
        <f>K247-G247</f>
        <v>28981</v>
      </c>
      <c r="J247" s="445"/>
      <c r="K247" s="26">
        <v>30000</v>
      </c>
      <c r="L247" s="445"/>
      <c r="M247" s="26">
        <v>30000</v>
      </c>
    </row>
    <row r="248" spans="1:13" ht="12.6" customHeight="1">
      <c r="A248" s="434"/>
      <c r="B248" s="430" t="s">
        <v>868</v>
      </c>
      <c r="C248" s="431" t="s">
        <v>128</v>
      </c>
      <c r="D248" s="445"/>
      <c r="E248" s="26"/>
      <c r="F248" s="445"/>
      <c r="G248" s="26">
        <v>0</v>
      </c>
      <c r="H248" s="445"/>
      <c r="I248" s="299">
        <f>K248-G248</f>
        <v>31000</v>
      </c>
      <c r="J248" s="445"/>
      <c r="K248" s="26">
        <v>31000</v>
      </c>
      <c r="L248" s="445"/>
      <c r="M248" s="26">
        <v>31000</v>
      </c>
    </row>
    <row r="249" spans="1:13" ht="12.6" customHeight="1">
      <c r="A249" s="434"/>
      <c r="B249" s="430" t="s">
        <v>502</v>
      </c>
      <c r="C249" s="431" t="s">
        <v>174</v>
      </c>
      <c r="D249" s="445"/>
      <c r="E249" s="26">
        <v>0</v>
      </c>
      <c r="F249" s="445"/>
      <c r="G249" s="26">
        <v>0</v>
      </c>
      <c r="H249" s="445"/>
      <c r="I249" s="299">
        <f>K249-G249</f>
        <v>25000</v>
      </c>
      <c r="J249" s="445"/>
      <c r="K249" s="26">
        <v>25000</v>
      </c>
      <c r="L249" s="445"/>
      <c r="M249" s="26">
        <v>25000</v>
      </c>
    </row>
    <row r="250" spans="1:13" ht="12.6" customHeight="1">
      <c r="A250" s="434"/>
      <c r="B250" s="430" t="s">
        <v>609</v>
      </c>
      <c r="C250" s="431" t="s">
        <v>129</v>
      </c>
      <c r="D250" s="445"/>
      <c r="E250" s="26">
        <v>22619.33</v>
      </c>
      <c r="F250" s="445"/>
      <c r="G250" s="26">
        <v>0</v>
      </c>
      <c r="H250" s="445"/>
      <c r="I250" s="299">
        <f>K250-G250</f>
        <v>65000</v>
      </c>
      <c r="J250" s="445"/>
      <c r="K250" s="26">
        <v>65000</v>
      </c>
      <c r="L250" s="445"/>
      <c r="M250" s="26">
        <v>65000</v>
      </c>
    </row>
    <row r="251" spans="1:13" ht="12.6" customHeight="1">
      <c r="A251" s="434"/>
      <c r="B251" s="430" t="s">
        <v>610</v>
      </c>
      <c r="C251" s="431" t="s">
        <v>148</v>
      </c>
      <c r="D251" s="445"/>
      <c r="E251" s="26"/>
      <c r="F251" s="445"/>
      <c r="G251" s="26"/>
      <c r="H251" s="445"/>
      <c r="I251" s="26"/>
      <c r="J251" s="445"/>
      <c r="K251" s="26"/>
      <c r="L251" s="445"/>
      <c r="M251" s="26"/>
    </row>
    <row r="252" spans="1:13" ht="12.6" customHeight="1">
      <c r="A252" s="434"/>
      <c r="B252" s="430" t="s">
        <v>616</v>
      </c>
      <c r="C252" s="431"/>
      <c r="D252" s="445"/>
      <c r="E252" s="26"/>
      <c r="F252" s="445"/>
      <c r="G252" s="26"/>
      <c r="H252" s="445"/>
      <c r="I252" s="26"/>
      <c r="J252" s="445"/>
      <c r="K252" s="26"/>
      <c r="L252" s="445"/>
      <c r="M252" s="26"/>
    </row>
    <row r="253" spans="1:13" ht="12.6" customHeight="1">
      <c r="A253" s="434"/>
      <c r="B253" s="430" t="s">
        <v>617</v>
      </c>
      <c r="C253" s="431"/>
      <c r="D253" s="445"/>
      <c r="E253" s="26"/>
      <c r="F253" s="445"/>
      <c r="G253" s="26">
        <v>0</v>
      </c>
      <c r="H253" s="445"/>
      <c r="I253" s="299">
        <f t="shared" ref="I253:I258" si="27">K253-G253</f>
        <v>35000</v>
      </c>
      <c r="J253" s="445"/>
      <c r="K253" s="26">
        <v>35000</v>
      </c>
      <c r="L253" s="445"/>
      <c r="M253" s="26">
        <v>35000</v>
      </c>
    </row>
    <row r="254" spans="1:13" ht="12.6" customHeight="1">
      <c r="A254" s="434"/>
      <c r="B254" s="430" t="s">
        <v>1411</v>
      </c>
      <c r="C254" s="431"/>
      <c r="D254" s="445"/>
      <c r="E254" s="26">
        <v>5779</v>
      </c>
      <c r="F254" s="445"/>
      <c r="G254" s="26"/>
      <c r="H254" s="445"/>
      <c r="I254" s="299"/>
      <c r="J254" s="445"/>
      <c r="K254" s="26"/>
      <c r="L254" s="445"/>
      <c r="M254" s="26"/>
    </row>
    <row r="255" spans="1:13" ht="12.6" customHeight="1">
      <c r="A255" s="434"/>
      <c r="B255" s="430" t="s">
        <v>614</v>
      </c>
      <c r="C255" s="431"/>
      <c r="D255" s="445"/>
      <c r="E255" s="26">
        <v>201851.4</v>
      </c>
      <c r="F255" s="445"/>
      <c r="G255" s="26">
        <v>77144.179999999993</v>
      </c>
      <c r="H255" s="445"/>
      <c r="I255" s="299">
        <f t="shared" si="27"/>
        <v>112855.82</v>
      </c>
      <c r="J255" s="445"/>
      <c r="K255" s="26">
        <v>190000</v>
      </c>
      <c r="L255" s="445"/>
      <c r="M255" s="26">
        <v>190000</v>
      </c>
    </row>
    <row r="256" spans="1:13" ht="12.6" customHeight="1">
      <c r="A256" s="434"/>
      <c r="B256" s="430" t="s">
        <v>612</v>
      </c>
      <c r="C256" s="431"/>
      <c r="D256" s="445"/>
      <c r="E256" s="26">
        <v>0</v>
      </c>
      <c r="F256" s="445"/>
      <c r="G256" s="26">
        <v>0</v>
      </c>
      <c r="H256" s="445"/>
      <c r="I256" s="299">
        <f t="shared" si="27"/>
        <v>4000</v>
      </c>
      <c r="J256" s="445"/>
      <c r="K256" s="26">
        <v>4000</v>
      </c>
      <c r="L256" s="445"/>
      <c r="M256" s="26">
        <v>4000</v>
      </c>
    </row>
    <row r="257" spans="1:13" ht="12.6" customHeight="1">
      <c r="A257" s="434"/>
      <c r="B257" s="430" t="s">
        <v>615</v>
      </c>
      <c r="C257" s="431"/>
      <c r="D257" s="445"/>
      <c r="E257" s="26">
        <v>0</v>
      </c>
      <c r="F257" s="445"/>
      <c r="G257" s="26">
        <v>0</v>
      </c>
      <c r="H257" s="445"/>
      <c r="I257" s="299">
        <f t="shared" si="27"/>
        <v>135000</v>
      </c>
      <c r="J257" s="445"/>
      <c r="K257" s="26">
        <v>135000</v>
      </c>
      <c r="L257" s="445"/>
      <c r="M257" s="26">
        <v>135000</v>
      </c>
    </row>
    <row r="258" spans="1:13" ht="12.6" customHeight="1">
      <c r="A258" s="434"/>
      <c r="B258" s="430" t="s">
        <v>995</v>
      </c>
      <c r="C258" s="431"/>
      <c r="D258" s="445"/>
      <c r="E258" s="26">
        <v>15750</v>
      </c>
      <c r="F258" s="445"/>
      <c r="G258" s="26">
        <v>0</v>
      </c>
      <c r="H258" s="445"/>
      <c r="I258" s="299">
        <f t="shared" si="27"/>
        <v>0</v>
      </c>
      <c r="J258" s="445"/>
      <c r="K258" s="26">
        <v>0</v>
      </c>
      <c r="L258" s="445"/>
      <c r="M258" s="26">
        <v>0</v>
      </c>
    </row>
    <row r="259" spans="1:13" ht="12.6" customHeight="1">
      <c r="A259" s="434" t="s">
        <v>1256</v>
      </c>
      <c r="B259" s="430"/>
      <c r="C259" s="431"/>
      <c r="D259" s="445"/>
      <c r="E259" s="26"/>
      <c r="F259" s="445"/>
      <c r="G259" s="26"/>
      <c r="H259" s="445"/>
      <c r="I259" s="26"/>
      <c r="J259" s="445"/>
      <c r="K259" s="26"/>
      <c r="L259" s="445"/>
      <c r="M259" s="26"/>
    </row>
    <row r="260" spans="1:13" ht="12.6" customHeight="1">
      <c r="A260" s="434" t="s">
        <v>608</v>
      </c>
      <c r="B260" s="430" t="s">
        <v>595</v>
      </c>
      <c r="C260" s="431"/>
      <c r="D260" s="445"/>
      <c r="E260" s="26"/>
      <c r="F260" s="445"/>
      <c r="G260" s="26"/>
      <c r="H260" s="445"/>
      <c r="I260" s="26"/>
      <c r="J260" s="445"/>
      <c r="K260" s="26"/>
      <c r="L260" s="445"/>
      <c r="M260" s="26"/>
    </row>
    <row r="261" spans="1:13" ht="13.5" customHeight="1">
      <c r="A261" s="434"/>
      <c r="B261" s="430" t="s">
        <v>652</v>
      </c>
      <c r="C261" s="431" t="s">
        <v>298</v>
      </c>
      <c r="D261" s="445"/>
      <c r="E261" s="26">
        <v>300000</v>
      </c>
      <c r="F261" s="445"/>
      <c r="G261" s="26">
        <v>0</v>
      </c>
      <c r="H261" s="445"/>
      <c r="I261" s="299">
        <f>K261-G261</f>
        <v>300000</v>
      </c>
      <c r="J261" s="445"/>
      <c r="K261" s="26">
        <v>300000</v>
      </c>
      <c r="L261" s="445"/>
      <c r="M261" s="26">
        <v>300000</v>
      </c>
    </row>
    <row r="262" spans="1:13" ht="12.6" customHeight="1">
      <c r="A262" s="434" t="s">
        <v>1135</v>
      </c>
      <c r="B262" s="430"/>
      <c r="C262" s="443"/>
      <c r="D262" s="445"/>
      <c r="E262" s="26"/>
      <c r="F262" s="445"/>
      <c r="G262" s="26"/>
      <c r="H262" s="445"/>
      <c r="I262" s="26"/>
      <c r="J262" s="445"/>
      <c r="K262" s="26"/>
      <c r="L262" s="445"/>
      <c r="M262" s="26"/>
    </row>
    <row r="263" spans="1:13" ht="12.6" customHeight="1">
      <c r="A263" s="434" t="s">
        <v>1409</v>
      </c>
      <c r="B263" s="430"/>
      <c r="C263" s="443"/>
      <c r="D263" s="445"/>
      <c r="E263" s="26"/>
      <c r="F263" s="445"/>
      <c r="G263" s="26"/>
      <c r="H263" s="445"/>
      <c r="I263" s="26"/>
      <c r="J263" s="445"/>
      <c r="K263" s="26"/>
      <c r="L263" s="445"/>
      <c r="M263" s="26"/>
    </row>
    <row r="264" spans="1:13" ht="12.6" customHeight="1">
      <c r="A264" s="434" t="s">
        <v>606</v>
      </c>
      <c r="B264" s="430"/>
      <c r="C264" s="443"/>
      <c r="D264" s="445"/>
      <c r="E264" s="26"/>
      <c r="F264" s="445"/>
      <c r="G264" s="26"/>
      <c r="H264" s="445"/>
      <c r="I264" s="26"/>
      <c r="J264" s="445"/>
      <c r="K264" s="26"/>
      <c r="L264" s="445"/>
      <c r="M264" s="26"/>
    </row>
    <row r="265" spans="1:13" ht="12.6" customHeight="1">
      <c r="A265" s="434"/>
      <c r="B265" s="430" t="s">
        <v>596</v>
      </c>
      <c r="C265" s="443" t="s">
        <v>128</v>
      </c>
      <c r="D265" s="445"/>
      <c r="E265" s="26">
        <v>135603</v>
      </c>
      <c r="F265" s="445"/>
      <c r="G265" s="26">
        <v>0</v>
      </c>
      <c r="H265" s="445"/>
      <c r="I265" s="299">
        <f t="shared" ref="I265:I268" si="28">K265-G265</f>
        <v>150000</v>
      </c>
      <c r="J265" s="445"/>
      <c r="K265" s="26">
        <v>150000</v>
      </c>
      <c r="L265" s="445"/>
      <c r="M265" s="26">
        <v>150000</v>
      </c>
    </row>
    <row r="266" spans="1:13" ht="12.6" customHeight="1">
      <c r="A266" s="434"/>
      <c r="B266" s="430" t="s">
        <v>523</v>
      </c>
      <c r="C266" s="443" t="s">
        <v>174</v>
      </c>
      <c r="D266" s="445"/>
      <c r="E266" s="26">
        <v>26000</v>
      </c>
      <c r="F266" s="445"/>
      <c r="G266" s="26">
        <v>0</v>
      </c>
      <c r="H266" s="445"/>
      <c r="I266" s="299">
        <f t="shared" si="28"/>
        <v>30000</v>
      </c>
      <c r="J266" s="445"/>
      <c r="K266" s="26">
        <v>30000</v>
      </c>
      <c r="L266" s="445"/>
      <c r="M266" s="26">
        <v>30000</v>
      </c>
    </row>
    <row r="267" spans="1:13" ht="12.6" customHeight="1">
      <c r="A267" s="434"/>
      <c r="B267" s="430" t="s">
        <v>598</v>
      </c>
      <c r="C267" s="443" t="s">
        <v>148</v>
      </c>
      <c r="D267" s="445"/>
      <c r="E267" s="26">
        <v>0</v>
      </c>
      <c r="F267" s="445"/>
      <c r="G267" s="26">
        <v>0</v>
      </c>
      <c r="H267" s="445"/>
      <c r="I267" s="299">
        <f t="shared" si="28"/>
        <v>0</v>
      </c>
      <c r="J267" s="445"/>
      <c r="K267" s="26">
        <v>0</v>
      </c>
      <c r="L267" s="445"/>
      <c r="M267" s="26">
        <v>0</v>
      </c>
    </row>
    <row r="268" spans="1:13" ht="12.6" customHeight="1">
      <c r="A268" s="434"/>
      <c r="B268" s="430" t="s">
        <v>1243</v>
      </c>
      <c r="C268" s="443"/>
      <c r="D268" s="445"/>
      <c r="E268" s="26">
        <v>129966</v>
      </c>
      <c r="F268" s="445"/>
      <c r="G268" s="26">
        <v>19800</v>
      </c>
      <c r="H268" s="445"/>
      <c r="I268" s="299">
        <f t="shared" si="28"/>
        <v>130200</v>
      </c>
      <c r="J268" s="445"/>
      <c r="K268" s="26">
        <v>150000</v>
      </c>
      <c r="L268" s="445"/>
      <c r="M268" s="26">
        <v>150000</v>
      </c>
    </row>
    <row r="269" spans="1:13" ht="12.6" customHeight="1">
      <c r="A269" s="434" t="s">
        <v>869</v>
      </c>
      <c r="B269" s="430"/>
      <c r="C269" s="443"/>
      <c r="D269" s="445"/>
      <c r="E269" s="26"/>
      <c r="F269" s="445"/>
      <c r="G269" s="26"/>
      <c r="H269" s="445"/>
      <c r="I269" s="299"/>
      <c r="J269" s="445"/>
      <c r="K269" s="26"/>
      <c r="L269" s="445"/>
      <c r="M269" s="26"/>
    </row>
    <row r="270" spans="1:13" ht="12.6" customHeight="1">
      <c r="A270" s="434"/>
      <c r="B270" s="430" t="s">
        <v>1115</v>
      </c>
      <c r="C270" s="443" t="s">
        <v>1116</v>
      </c>
      <c r="D270" s="445"/>
      <c r="E270" s="26"/>
      <c r="F270" s="445"/>
      <c r="G270" s="26"/>
      <c r="H270" s="445"/>
      <c r="I270" s="299"/>
      <c r="J270" s="445"/>
      <c r="K270" s="26"/>
      <c r="L270" s="445"/>
      <c r="M270" s="26"/>
    </row>
    <row r="271" spans="1:13" ht="12.6" customHeight="1">
      <c r="A271" s="434"/>
      <c r="B271" s="430" t="s">
        <v>1353</v>
      </c>
      <c r="C271" s="443"/>
      <c r="D271" s="445"/>
      <c r="E271" s="26">
        <v>0</v>
      </c>
      <c r="F271" s="445"/>
      <c r="G271" s="26">
        <v>0</v>
      </c>
      <c r="H271" s="445"/>
      <c r="I271" s="299">
        <f t="shared" ref="I271" si="29">K271-G271</f>
        <v>0</v>
      </c>
      <c r="J271" s="445"/>
      <c r="K271" s="26">
        <v>0</v>
      </c>
      <c r="L271" s="445"/>
      <c r="M271" s="26">
        <v>600000</v>
      </c>
    </row>
    <row r="272" spans="1:13" ht="12.6" customHeight="1">
      <c r="A272" s="420"/>
      <c r="B272" s="430" t="s">
        <v>50</v>
      </c>
      <c r="C272" s="443" t="s">
        <v>156</v>
      </c>
      <c r="D272" s="445"/>
      <c r="E272" s="26"/>
      <c r="F272" s="445"/>
      <c r="G272" s="26"/>
      <c r="H272" s="445"/>
      <c r="I272" s="299"/>
      <c r="J272" s="445"/>
      <c r="K272" s="26"/>
      <c r="L272" s="445"/>
      <c r="M272" s="26"/>
    </row>
    <row r="273" spans="1:13" ht="12.6" customHeight="1">
      <c r="A273" s="519"/>
      <c r="B273" s="905" t="s">
        <v>1406</v>
      </c>
      <c r="C273" s="457"/>
      <c r="D273" s="450"/>
      <c r="E273" s="31">
        <v>144770</v>
      </c>
      <c r="F273" s="450"/>
      <c r="G273" s="31"/>
      <c r="H273" s="450"/>
      <c r="I273" s="302"/>
      <c r="J273" s="450"/>
      <c r="K273" s="31">
        <v>170000</v>
      </c>
      <c r="L273" s="450"/>
      <c r="M273" s="31"/>
    </row>
    <row r="274" spans="1:13" ht="12.6" customHeight="1">
      <c r="A274" s="434" t="s">
        <v>1410</v>
      </c>
      <c r="B274" s="430"/>
      <c r="C274" s="443"/>
      <c r="D274" s="445"/>
      <c r="E274" s="26"/>
      <c r="F274" s="445"/>
      <c r="G274" s="26"/>
      <c r="H274" s="445"/>
      <c r="I274" s="26"/>
      <c r="J274" s="445"/>
      <c r="K274" s="26"/>
      <c r="L274" s="445"/>
      <c r="M274" s="26"/>
    </row>
    <row r="275" spans="1:13" ht="12.6" customHeight="1">
      <c r="A275" s="434" t="s">
        <v>606</v>
      </c>
      <c r="B275" s="430"/>
      <c r="C275" s="443"/>
      <c r="D275" s="445"/>
      <c r="E275" s="26"/>
      <c r="F275" s="445"/>
      <c r="G275" s="26"/>
      <c r="H275" s="445"/>
      <c r="I275" s="26"/>
      <c r="J275" s="445"/>
      <c r="K275" s="26"/>
      <c r="L275" s="445"/>
      <c r="M275" s="26"/>
    </row>
    <row r="276" spans="1:13" ht="12.6" customHeight="1">
      <c r="A276" s="434"/>
      <c r="B276" s="430" t="s">
        <v>596</v>
      </c>
      <c r="C276" s="443" t="s">
        <v>128</v>
      </c>
      <c r="D276" s="445"/>
      <c r="E276" s="26">
        <v>84210</v>
      </c>
      <c r="F276" s="445"/>
      <c r="G276" s="26">
        <v>0</v>
      </c>
      <c r="H276" s="445"/>
      <c r="I276" s="299">
        <f t="shared" ref="I276:I279" si="30">K276-G276</f>
        <v>250000</v>
      </c>
      <c r="J276" s="445"/>
      <c r="K276" s="26">
        <v>250000</v>
      </c>
      <c r="L276" s="445"/>
      <c r="M276" s="26">
        <v>250000</v>
      </c>
    </row>
    <row r="277" spans="1:13" ht="12.6" customHeight="1">
      <c r="A277" s="434"/>
      <c r="B277" s="430" t="s">
        <v>522</v>
      </c>
      <c r="C277" s="443" t="s">
        <v>129</v>
      </c>
      <c r="D277" s="445"/>
      <c r="E277" s="26">
        <v>55450.51</v>
      </c>
      <c r="F277" s="445"/>
      <c r="G277" s="26">
        <v>16126.41</v>
      </c>
      <c r="H277" s="445"/>
      <c r="I277" s="299">
        <f t="shared" si="30"/>
        <v>83873.59</v>
      </c>
      <c r="J277" s="445"/>
      <c r="K277" s="26">
        <v>100000</v>
      </c>
      <c r="L277" s="445"/>
      <c r="M277" s="26">
        <v>100000</v>
      </c>
    </row>
    <row r="278" spans="1:13" ht="12.6" customHeight="1">
      <c r="A278" s="434"/>
      <c r="B278" s="430" t="s">
        <v>598</v>
      </c>
      <c r="C278" s="443" t="s">
        <v>148</v>
      </c>
      <c r="D278" s="445"/>
      <c r="E278" s="26">
        <v>0</v>
      </c>
      <c r="F278" s="445"/>
      <c r="G278" s="26">
        <v>0</v>
      </c>
      <c r="H278" s="445"/>
      <c r="I278" s="299">
        <f t="shared" si="30"/>
        <v>0</v>
      </c>
      <c r="J278" s="445"/>
      <c r="K278" s="26">
        <v>0</v>
      </c>
      <c r="L278" s="445"/>
      <c r="M278" s="26">
        <v>0</v>
      </c>
    </row>
    <row r="279" spans="1:13" ht="12.6" customHeight="1">
      <c r="A279" s="434"/>
      <c r="B279" s="430" t="s">
        <v>1244</v>
      </c>
      <c r="C279" s="443"/>
      <c r="D279" s="445"/>
      <c r="E279" s="26">
        <v>30000</v>
      </c>
      <c r="F279" s="445"/>
      <c r="G279" s="26">
        <v>9200</v>
      </c>
      <c r="H279" s="445"/>
      <c r="I279" s="299">
        <f t="shared" si="30"/>
        <v>140800</v>
      </c>
      <c r="J279" s="445"/>
      <c r="K279" s="26">
        <v>150000</v>
      </c>
      <c r="L279" s="445"/>
      <c r="M279" s="26">
        <v>150000</v>
      </c>
    </row>
    <row r="280" spans="1:13" ht="12.6" customHeight="1">
      <c r="A280" s="434" t="s">
        <v>1136</v>
      </c>
      <c r="B280" s="430"/>
      <c r="C280" s="443"/>
      <c r="D280" s="445"/>
      <c r="E280" s="26"/>
      <c r="F280" s="445"/>
      <c r="G280" s="26"/>
      <c r="H280" s="445"/>
      <c r="I280" s="26"/>
      <c r="J280" s="445"/>
      <c r="K280" s="26"/>
      <c r="L280" s="445"/>
      <c r="M280" s="26"/>
    </row>
    <row r="281" spans="1:13" ht="12.6" customHeight="1">
      <c r="A281" s="434" t="s">
        <v>606</v>
      </c>
      <c r="B281" s="430"/>
      <c r="C281" s="443"/>
      <c r="D281" s="445"/>
      <c r="E281" s="26"/>
      <c r="F281" s="445"/>
      <c r="G281" s="26"/>
      <c r="H281" s="445"/>
      <c r="I281" s="26"/>
      <c r="J281" s="445"/>
      <c r="K281" s="26"/>
      <c r="L281" s="445"/>
      <c r="M281" s="26"/>
    </row>
    <row r="282" spans="1:13" ht="12.6" customHeight="1">
      <c r="A282" s="434"/>
      <c r="B282" s="430" t="s">
        <v>522</v>
      </c>
      <c r="C282" s="443" t="s">
        <v>129</v>
      </c>
      <c r="D282" s="445"/>
      <c r="E282" s="26">
        <v>0</v>
      </c>
      <c r="F282" s="445"/>
      <c r="G282" s="26"/>
      <c r="H282" s="445"/>
      <c r="I282" s="299"/>
      <c r="J282" s="445"/>
      <c r="K282" s="26"/>
      <c r="L282" s="445"/>
      <c r="M282" s="26">
        <v>300000</v>
      </c>
    </row>
    <row r="283" spans="1:13" ht="12.6" customHeight="1">
      <c r="A283" s="434"/>
      <c r="B283" s="430" t="s">
        <v>523</v>
      </c>
      <c r="C283" s="443" t="s">
        <v>174</v>
      </c>
      <c r="D283" s="445"/>
      <c r="E283" s="26">
        <v>0</v>
      </c>
      <c r="F283" s="445"/>
      <c r="G283" s="26">
        <v>992.58</v>
      </c>
      <c r="H283" s="445"/>
      <c r="I283" s="299"/>
      <c r="J283" s="445"/>
      <c r="K283" s="26">
        <v>17003</v>
      </c>
      <c r="L283" s="445"/>
      <c r="M283" s="26">
        <v>150000</v>
      </c>
    </row>
    <row r="284" spans="1:13" ht="12.6" customHeight="1">
      <c r="A284" s="434"/>
      <c r="B284" s="430" t="s">
        <v>1179</v>
      </c>
      <c r="C284" s="443" t="s">
        <v>166</v>
      </c>
      <c r="D284" s="445"/>
      <c r="E284" s="26">
        <v>0</v>
      </c>
      <c r="F284" s="445"/>
      <c r="G284" s="26">
        <v>53631.55</v>
      </c>
      <c r="H284" s="445"/>
      <c r="I284" s="299"/>
      <c r="J284" s="445"/>
      <c r="K284" s="26">
        <v>188128</v>
      </c>
      <c r="L284" s="445"/>
      <c r="M284" s="26">
        <v>0</v>
      </c>
    </row>
    <row r="285" spans="1:13" ht="12.6" customHeight="1">
      <c r="A285" s="434"/>
      <c r="B285" s="430" t="s">
        <v>1180</v>
      </c>
      <c r="C285" s="443" t="s">
        <v>167</v>
      </c>
      <c r="D285" s="445"/>
      <c r="E285" s="26">
        <v>0</v>
      </c>
      <c r="F285" s="445"/>
      <c r="G285" s="26">
        <v>35624.639999999999</v>
      </c>
      <c r="H285" s="445"/>
      <c r="I285" s="299"/>
      <c r="J285" s="445"/>
      <c r="K285" s="26">
        <v>250000</v>
      </c>
      <c r="L285" s="445"/>
      <c r="M285" s="26">
        <v>0</v>
      </c>
    </row>
    <row r="286" spans="1:13" ht="12.6" customHeight="1">
      <c r="A286" s="434"/>
      <c r="B286" s="430" t="s">
        <v>1181</v>
      </c>
      <c r="C286" s="443" t="s">
        <v>133</v>
      </c>
      <c r="D286" s="445"/>
      <c r="E286" s="26">
        <v>0</v>
      </c>
      <c r="F286" s="445"/>
      <c r="G286" s="26">
        <v>0</v>
      </c>
      <c r="H286" s="445"/>
      <c r="I286" s="299"/>
      <c r="J286" s="445"/>
      <c r="K286" s="26">
        <v>4000</v>
      </c>
      <c r="L286" s="445"/>
      <c r="M286" s="26">
        <v>0</v>
      </c>
    </row>
    <row r="287" spans="1:13" ht="12.6" customHeight="1">
      <c r="A287" s="434"/>
      <c r="B287" s="430" t="s">
        <v>597</v>
      </c>
      <c r="C287" s="443" t="s">
        <v>134</v>
      </c>
      <c r="D287" s="445"/>
      <c r="E287" s="26">
        <v>0</v>
      </c>
      <c r="F287" s="445"/>
      <c r="G287" s="26">
        <v>10000</v>
      </c>
      <c r="H287" s="445"/>
      <c r="I287" s="299"/>
      <c r="J287" s="445"/>
      <c r="K287" s="26">
        <v>27000</v>
      </c>
      <c r="L287" s="445"/>
      <c r="M287" s="26">
        <v>0</v>
      </c>
    </row>
    <row r="288" spans="1:13" ht="12.6" customHeight="1">
      <c r="A288" s="434"/>
      <c r="B288" s="430" t="s">
        <v>1182</v>
      </c>
      <c r="C288" s="443" t="s">
        <v>182</v>
      </c>
      <c r="D288" s="445"/>
      <c r="E288" s="26">
        <v>0</v>
      </c>
      <c r="F288" s="445"/>
      <c r="G288" s="26">
        <v>0</v>
      </c>
      <c r="H288" s="445"/>
      <c r="I288" s="299"/>
      <c r="J288" s="445"/>
      <c r="K288" s="26">
        <v>4200</v>
      </c>
      <c r="L288" s="445"/>
      <c r="M288" s="26">
        <v>0</v>
      </c>
    </row>
    <row r="289" spans="1:13" ht="12.6" customHeight="1">
      <c r="A289" s="434"/>
      <c r="B289" s="430" t="s">
        <v>1176</v>
      </c>
      <c r="C289" s="443" t="s">
        <v>141</v>
      </c>
      <c r="D289" s="445"/>
      <c r="E289" s="26">
        <v>0</v>
      </c>
      <c r="F289" s="445"/>
      <c r="G289" s="26">
        <v>0</v>
      </c>
      <c r="H289" s="445"/>
      <c r="I289" s="299"/>
      <c r="J289" s="445"/>
      <c r="K289" s="26">
        <v>80700</v>
      </c>
      <c r="L289" s="445"/>
      <c r="M289" s="26">
        <v>0</v>
      </c>
    </row>
    <row r="290" spans="1:13" ht="12.6" customHeight="1">
      <c r="A290" s="434"/>
      <c r="B290" s="430" t="s">
        <v>1178</v>
      </c>
      <c r="C290" s="443" t="s">
        <v>176</v>
      </c>
      <c r="D290" s="445"/>
      <c r="E290" s="26">
        <v>0</v>
      </c>
      <c r="F290" s="445"/>
      <c r="G290" s="26">
        <v>0</v>
      </c>
      <c r="H290" s="445"/>
      <c r="I290" s="299"/>
      <c r="J290" s="445"/>
      <c r="K290" s="26">
        <v>550000</v>
      </c>
      <c r="L290" s="445"/>
      <c r="M290" s="26">
        <v>0</v>
      </c>
    </row>
    <row r="291" spans="1:13" ht="12.6" customHeight="1">
      <c r="A291" s="434"/>
      <c r="B291" s="430" t="s">
        <v>1177</v>
      </c>
      <c r="C291" s="443" t="s">
        <v>144</v>
      </c>
      <c r="D291" s="445"/>
      <c r="E291" s="26">
        <v>0</v>
      </c>
      <c r="F291" s="445"/>
      <c r="G291" s="26">
        <v>0</v>
      </c>
      <c r="H291" s="445"/>
      <c r="I291" s="299"/>
      <c r="J291" s="445"/>
      <c r="K291" s="26">
        <v>57000</v>
      </c>
      <c r="L291" s="445"/>
      <c r="M291" s="26">
        <v>400000</v>
      </c>
    </row>
    <row r="292" spans="1:13" ht="12.6" customHeight="1">
      <c r="A292" s="434"/>
      <c r="B292" s="430" t="s">
        <v>598</v>
      </c>
      <c r="C292" s="443" t="s">
        <v>148</v>
      </c>
      <c r="D292" s="445"/>
      <c r="E292" s="26"/>
      <c r="F292" s="445"/>
      <c r="G292" s="26"/>
      <c r="H292" s="445"/>
      <c r="I292" s="299"/>
      <c r="J292" s="445"/>
      <c r="K292" s="26"/>
      <c r="L292" s="445"/>
      <c r="M292" s="26"/>
    </row>
    <row r="293" spans="1:13" ht="12.6" customHeight="1">
      <c r="A293" s="434"/>
      <c r="B293" s="430" t="s">
        <v>1137</v>
      </c>
      <c r="C293" s="443"/>
      <c r="D293" s="445"/>
      <c r="E293" s="26">
        <v>0</v>
      </c>
      <c r="F293" s="445"/>
      <c r="G293" s="26">
        <v>0</v>
      </c>
      <c r="H293" s="445"/>
      <c r="I293" s="299">
        <f t="shared" ref="I293" si="31">K293-G293</f>
        <v>418000</v>
      </c>
      <c r="J293" s="445"/>
      <c r="K293" s="26">
        <v>418000</v>
      </c>
      <c r="L293" s="445"/>
      <c r="M293" s="26">
        <v>0</v>
      </c>
    </row>
    <row r="294" spans="1:13" ht="12.6" customHeight="1">
      <c r="A294" s="434"/>
      <c r="B294" s="430" t="s">
        <v>1139</v>
      </c>
      <c r="C294" s="443"/>
      <c r="D294" s="445"/>
      <c r="E294" s="26"/>
      <c r="F294" s="445"/>
      <c r="G294" s="26"/>
      <c r="H294" s="445"/>
      <c r="I294" s="299"/>
      <c r="J294" s="445"/>
      <c r="K294" s="26"/>
      <c r="L294" s="445"/>
      <c r="M294" s="26"/>
    </row>
    <row r="295" spans="1:13" ht="12.6" customHeight="1">
      <c r="A295" s="434"/>
      <c r="B295" s="430" t="s">
        <v>1138</v>
      </c>
      <c r="C295" s="443"/>
      <c r="D295" s="445"/>
      <c r="E295" s="26"/>
      <c r="F295" s="445"/>
      <c r="G295" s="26"/>
      <c r="H295" s="445"/>
      <c r="I295" s="299"/>
      <c r="J295" s="445"/>
      <c r="K295" s="26"/>
      <c r="L295" s="445"/>
      <c r="M295" s="26"/>
    </row>
    <row r="296" spans="1:13" ht="10.5" customHeight="1">
      <c r="A296" s="434"/>
      <c r="B296" s="430" t="s">
        <v>1175</v>
      </c>
      <c r="C296" s="443"/>
      <c r="D296" s="445"/>
      <c r="E296" s="26">
        <v>0</v>
      </c>
      <c r="F296" s="445"/>
      <c r="G296" s="26">
        <v>200000</v>
      </c>
      <c r="H296" s="445"/>
      <c r="I296" s="299">
        <f t="shared" ref="I296:I302" si="32">K296-G296</f>
        <v>0</v>
      </c>
      <c r="J296" s="445"/>
      <c r="K296" s="26">
        <v>200000</v>
      </c>
      <c r="L296" s="445"/>
      <c r="M296" s="26">
        <v>0</v>
      </c>
    </row>
    <row r="297" spans="1:13" ht="12.6" customHeight="1">
      <c r="A297" s="434"/>
      <c r="B297" s="430" t="s">
        <v>1183</v>
      </c>
      <c r="C297" s="443"/>
      <c r="D297" s="445"/>
      <c r="E297" s="26"/>
      <c r="F297" s="445"/>
      <c r="G297" s="26"/>
      <c r="H297" s="445"/>
      <c r="I297" s="299"/>
      <c r="J297" s="445"/>
      <c r="K297" s="26"/>
      <c r="L297" s="445"/>
      <c r="M297" s="26"/>
    </row>
    <row r="298" spans="1:13" ht="12.6" customHeight="1">
      <c r="A298" s="434"/>
      <c r="B298" s="430" t="s">
        <v>1184</v>
      </c>
      <c r="C298" s="443"/>
      <c r="D298" s="445"/>
      <c r="E298" s="26">
        <v>0</v>
      </c>
      <c r="F298" s="445"/>
      <c r="G298" s="26">
        <v>172150</v>
      </c>
      <c r="H298" s="445"/>
      <c r="I298" s="299"/>
      <c r="J298" s="445"/>
      <c r="K298" s="26">
        <v>600000</v>
      </c>
      <c r="L298" s="445"/>
      <c r="M298" s="26">
        <v>0</v>
      </c>
    </row>
    <row r="299" spans="1:13" ht="12.6" customHeight="1">
      <c r="A299" s="434"/>
      <c r="B299" s="430" t="s">
        <v>556</v>
      </c>
      <c r="C299" s="443"/>
      <c r="D299" s="445"/>
      <c r="E299" s="26">
        <v>0</v>
      </c>
      <c r="F299" s="445"/>
      <c r="G299" s="26">
        <v>1262926.21</v>
      </c>
      <c r="H299" s="445"/>
      <c r="I299" s="299">
        <f t="shared" ref="I299" si="33">K299-G299</f>
        <v>457073.79000000004</v>
      </c>
      <c r="J299" s="445"/>
      <c r="K299" s="26">
        <v>1720000</v>
      </c>
      <c r="L299" s="445"/>
      <c r="M299" s="26">
        <v>500000</v>
      </c>
    </row>
    <row r="300" spans="1:13" ht="12.6" customHeight="1">
      <c r="A300" s="434"/>
      <c r="B300" s="430" t="s">
        <v>526</v>
      </c>
      <c r="C300" s="443"/>
      <c r="D300" s="445"/>
      <c r="E300" s="26">
        <v>0</v>
      </c>
      <c r="F300" s="445"/>
      <c r="G300" s="26">
        <v>0</v>
      </c>
      <c r="H300" s="445"/>
      <c r="I300" s="299">
        <f t="shared" si="32"/>
        <v>100000</v>
      </c>
      <c r="J300" s="445"/>
      <c r="K300" s="26">
        <v>100000</v>
      </c>
      <c r="L300" s="445"/>
      <c r="M300" s="26">
        <v>0</v>
      </c>
    </row>
    <row r="301" spans="1:13" ht="12.6" customHeight="1">
      <c r="A301" s="434"/>
      <c r="B301" s="430" t="s">
        <v>1140</v>
      </c>
      <c r="C301" s="443"/>
      <c r="D301" s="445"/>
      <c r="E301" s="26">
        <v>0</v>
      </c>
      <c r="F301" s="445"/>
      <c r="G301" s="26">
        <v>450000</v>
      </c>
      <c r="H301" s="445"/>
      <c r="I301" s="299">
        <f t="shared" si="32"/>
        <v>0</v>
      </c>
      <c r="J301" s="445"/>
      <c r="K301" s="26">
        <v>450000</v>
      </c>
      <c r="L301" s="445"/>
      <c r="M301" s="26">
        <v>0</v>
      </c>
    </row>
    <row r="302" spans="1:13" ht="12.6" customHeight="1">
      <c r="A302" s="434"/>
      <c r="B302" s="430" t="s">
        <v>1141</v>
      </c>
      <c r="C302" s="443"/>
      <c r="D302" s="445"/>
      <c r="E302" s="26">
        <v>0</v>
      </c>
      <c r="F302" s="445"/>
      <c r="G302" s="26">
        <v>500000</v>
      </c>
      <c r="H302" s="445"/>
      <c r="I302" s="299">
        <f t="shared" si="32"/>
        <v>0</v>
      </c>
      <c r="J302" s="445"/>
      <c r="K302" s="26">
        <v>500000</v>
      </c>
      <c r="L302" s="445"/>
      <c r="M302" s="26">
        <v>0</v>
      </c>
    </row>
    <row r="303" spans="1:13" ht="12.6" customHeight="1">
      <c r="A303" s="434" t="s">
        <v>1354</v>
      </c>
      <c r="B303" s="430"/>
      <c r="C303" s="443"/>
      <c r="D303" s="445"/>
      <c r="E303" s="26"/>
      <c r="F303" s="445"/>
      <c r="G303" s="26"/>
      <c r="H303" s="445"/>
      <c r="I303" s="26"/>
      <c r="J303" s="445"/>
      <c r="K303" s="26"/>
      <c r="L303" s="445"/>
      <c r="M303" s="26"/>
    </row>
    <row r="304" spans="1:13" ht="12.6" customHeight="1">
      <c r="A304" s="434" t="s">
        <v>1355</v>
      </c>
      <c r="B304" s="430"/>
      <c r="C304" s="443"/>
      <c r="D304" s="445"/>
      <c r="E304" s="26"/>
      <c r="F304" s="445"/>
      <c r="G304" s="26"/>
      <c r="H304" s="445"/>
      <c r="I304" s="26"/>
      <c r="J304" s="445"/>
      <c r="K304" s="26"/>
      <c r="L304" s="445"/>
      <c r="M304" s="26"/>
    </row>
    <row r="305" spans="1:16" ht="12.6" customHeight="1">
      <c r="A305" s="434" t="s">
        <v>606</v>
      </c>
      <c r="B305" s="430"/>
      <c r="C305" s="443"/>
      <c r="D305" s="445"/>
      <c r="E305" s="26"/>
      <c r="F305" s="445"/>
      <c r="G305" s="26"/>
      <c r="H305" s="445"/>
      <c r="I305" s="26"/>
      <c r="J305" s="445"/>
      <c r="K305" s="26"/>
      <c r="L305" s="445"/>
      <c r="M305" s="26"/>
    </row>
    <row r="306" spans="1:16" ht="12.6" customHeight="1">
      <c r="A306" s="434"/>
      <c r="B306" s="430" t="s">
        <v>522</v>
      </c>
      <c r="C306" s="443" t="s">
        <v>129</v>
      </c>
      <c r="D306" s="445"/>
      <c r="E306" s="26">
        <v>0</v>
      </c>
      <c r="F306" s="445"/>
      <c r="G306" s="26">
        <v>0</v>
      </c>
      <c r="H306" s="445"/>
      <c r="I306" s="299">
        <f t="shared" ref="I306:I307" si="34">K306-G306</f>
        <v>0</v>
      </c>
      <c r="J306" s="445"/>
      <c r="K306" s="26">
        <v>0</v>
      </c>
      <c r="L306" s="445"/>
      <c r="M306" s="26">
        <v>500000</v>
      </c>
    </row>
    <row r="307" spans="1:16" ht="12.6" customHeight="1">
      <c r="A307" s="434"/>
      <c r="B307" s="430" t="s">
        <v>1356</v>
      </c>
      <c r="C307" s="443" t="s">
        <v>1302</v>
      </c>
      <c r="D307" s="445"/>
      <c r="E307" s="26">
        <v>0</v>
      </c>
      <c r="F307" s="445"/>
      <c r="G307" s="26">
        <v>0</v>
      </c>
      <c r="H307" s="445"/>
      <c r="I307" s="299">
        <f t="shared" si="34"/>
        <v>0</v>
      </c>
      <c r="J307" s="445"/>
      <c r="K307" s="26">
        <v>0</v>
      </c>
      <c r="L307" s="445"/>
      <c r="M307" s="26">
        <v>500000</v>
      </c>
    </row>
    <row r="308" spans="1:16" ht="10.5" customHeight="1">
      <c r="A308" s="434" t="s">
        <v>1357</v>
      </c>
      <c r="B308" s="430"/>
      <c r="C308" s="443"/>
      <c r="D308" s="445"/>
      <c r="E308" s="26"/>
      <c r="F308" s="445"/>
      <c r="G308" s="26"/>
      <c r="H308" s="445"/>
      <c r="I308" s="26"/>
      <c r="J308" s="445"/>
      <c r="K308" s="26"/>
      <c r="L308" s="445"/>
      <c r="M308" s="26"/>
    </row>
    <row r="309" spans="1:16" ht="12.6" customHeight="1">
      <c r="A309" s="434" t="s">
        <v>1358</v>
      </c>
      <c r="B309" s="430"/>
      <c r="C309" s="443"/>
      <c r="D309" s="445"/>
      <c r="E309" s="26"/>
      <c r="F309" s="445"/>
      <c r="G309" s="26"/>
      <c r="H309" s="445"/>
      <c r="I309" s="26"/>
      <c r="J309" s="445"/>
      <c r="K309" s="26"/>
      <c r="L309" s="445"/>
      <c r="M309" s="26"/>
    </row>
    <row r="310" spans="1:16" ht="12.6" customHeight="1">
      <c r="A310" s="434" t="s">
        <v>606</v>
      </c>
      <c r="B310" s="430"/>
      <c r="C310" s="443"/>
      <c r="D310" s="445"/>
      <c r="E310" s="26"/>
      <c r="F310" s="445"/>
      <c r="G310" s="26"/>
      <c r="H310" s="445"/>
      <c r="I310" s="26"/>
      <c r="J310" s="445"/>
      <c r="K310" s="26"/>
      <c r="L310" s="445"/>
      <c r="M310" s="26"/>
    </row>
    <row r="311" spans="1:16" ht="12.6" customHeight="1">
      <c r="A311" s="434"/>
      <c r="B311" s="430" t="s">
        <v>522</v>
      </c>
      <c r="C311" s="443" t="s">
        <v>129</v>
      </c>
      <c r="D311" s="445"/>
      <c r="E311" s="26">
        <v>0</v>
      </c>
      <c r="F311" s="445"/>
      <c r="G311" s="26">
        <v>0</v>
      </c>
      <c r="H311" s="445"/>
      <c r="I311" s="299">
        <f t="shared" ref="I311:I312" si="35">K311-G311</f>
        <v>0</v>
      </c>
      <c r="J311" s="445"/>
      <c r="K311" s="26">
        <v>0</v>
      </c>
      <c r="L311" s="445"/>
      <c r="M311" s="26">
        <v>300000</v>
      </c>
    </row>
    <row r="312" spans="1:16" ht="12.6" customHeight="1">
      <c r="A312" s="434"/>
      <c r="B312" s="430" t="s">
        <v>1356</v>
      </c>
      <c r="C312" s="443" t="s">
        <v>1302</v>
      </c>
      <c r="D312" s="445"/>
      <c r="E312" s="26">
        <v>0</v>
      </c>
      <c r="F312" s="445"/>
      <c r="G312" s="26">
        <v>0</v>
      </c>
      <c r="H312" s="445"/>
      <c r="I312" s="299">
        <f t="shared" si="35"/>
        <v>0</v>
      </c>
      <c r="J312" s="445"/>
      <c r="K312" s="26">
        <v>0</v>
      </c>
      <c r="L312" s="445"/>
      <c r="M312" s="26">
        <v>500000</v>
      </c>
    </row>
    <row r="313" spans="1:16" ht="12.6" customHeight="1">
      <c r="A313" s="1406" t="s">
        <v>23</v>
      </c>
      <c r="B313" s="1407"/>
      <c r="C313" s="438"/>
      <c r="D313" s="904" t="s">
        <v>15</v>
      </c>
      <c r="E313" s="36">
        <f>SUM(E24:E302)</f>
        <v>7859369.9199999999</v>
      </c>
      <c r="F313" s="904" t="s">
        <v>15</v>
      </c>
      <c r="G313" s="36">
        <f>SUM(G24:G302)</f>
        <v>6127376.9299999997</v>
      </c>
      <c r="H313" s="904" t="s">
        <v>15</v>
      </c>
      <c r="I313" s="36">
        <f>SUM(I24:I302)</f>
        <v>12539621.84</v>
      </c>
      <c r="J313" s="904" t="s">
        <v>15</v>
      </c>
      <c r="K313" s="36">
        <f>SUM(K24:K302)</f>
        <v>20342631</v>
      </c>
      <c r="L313" s="904" t="s">
        <v>15</v>
      </c>
      <c r="M313" s="36">
        <f>SUM(M24:M312)</f>
        <v>19509400</v>
      </c>
    </row>
    <row r="314" spans="1:16" ht="12.6" customHeight="1">
      <c r="A314" s="1408" t="s">
        <v>12</v>
      </c>
      <c r="B314" s="1409"/>
      <c r="C314" s="462"/>
      <c r="D314" s="460" t="s">
        <v>15</v>
      </c>
      <c r="E314" s="65">
        <f>E313+E21</f>
        <v>24643818.149999999</v>
      </c>
      <c r="F314" s="460" t="s">
        <v>15</v>
      </c>
      <c r="G314" s="65">
        <f>G313+G21</f>
        <v>12421111.77</v>
      </c>
      <c r="H314" s="460" t="s">
        <v>15</v>
      </c>
      <c r="I314" s="65">
        <f>I313+I21</f>
        <v>15995887</v>
      </c>
      <c r="J314" s="460" t="s">
        <v>15</v>
      </c>
      <c r="K314" s="65">
        <f>K313+K21</f>
        <v>30092631</v>
      </c>
      <c r="L314" s="460" t="s">
        <v>15</v>
      </c>
      <c r="M314" s="65">
        <f>M313+M21</f>
        <v>23439842</v>
      </c>
      <c r="P314" s="417" t="s">
        <v>57</v>
      </c>
    </row>
    <row r="315" spans="1:16" ht="13.5" customHeight="1">
      <c r="A315" s="488" t="s">
        <v>1623</v>
      </c>
      <c r="B315" s="438"/>
      <c r="C315" s="438"/>
      <c r="D315" s="463"/>
      <c r="E315" s="39"/>
      <c r="F315" s="463"/>
      <c r="G315" s="39"/>
      <c r="H315" s="463"/>
      <c r="I315" s="39"/>
      <c r="J315" s="463"/>
      <c r="K315" s="39"/>
      <c r="L315" s="463"/>
      <c r="M315" s="39"/>
    </row>
    <row r="316" spans="1:16" ht="16.5" customHeight="1">
      <c r="A316" s="464" t="s">
        <v>1245</v>
      </c>
      <c r="D316" s="417"/>
      <c r="E316" s="330"/>
      <c r="F316" s="464"/>
      <c r="G316" s="418"/>
      <c r="H316" s="464"/>
      <c r="I316" s="418"/>
      <c r="J316" s="464"/>
      <c r="K316" s="418"/>
      <c r="L316" s="417"/>
      <c r="M316" s="418"/>
    </row>
    <row r="317" spans="1:16">
      <c r="D317" s="417"/>
      <c r="E317" s="330"/>
      <c r="F317" s="417"/>
      <c r="G317" s="418"/>
      <c r="H317" s="417"/>
      <c r="I317" s="418"/>
      <c r="J317" s="417"/>
      <c r="K317" s="418"/>
      <c r="L317" s="417"/>
      <c r="M317" s="418"/>
    </row>
    <row r="318" spans="1:16">
      <c r="D318" s="417"/>
      <c r="E318" s="330"/>
      <c r="F318" s="417"/>
      <c r="G318" s="418"/>
      <c r="H318" s="417"/>
      <c r="I318" s="418"/>
      <c r="J318" s="417"/>
      <c r="K318" s="418"/>
      <c r="L318" s="417"/>
      <c r="M318" s="418"/>
    </row>
    <row r="319" spans="1:16" ht="15" customHeight="1">
      <c r="A319" s="419" t="s">
        <v>1586</v>
      </c>
      <c r="B319" s="419"/>
      <c r="C319" s="896"/>
      <c r="D319" s="465"/>
      <c r="E319" s="334"/>
      <c r="F319" s="419"/>
      <c r="G319" s="419"/>
      <c r="H319" s="419"/>
      <c r="I319" s="419"/>
      <c r="J319" s="419"/>
      <c r="K319" s="419"/>
      <c r="L319" s="419"/>
      <c r="M319" s="419"/>
      <c r="N319" s="419"/>
    </row>
    <row r="320" spans="1:16">
      <c r="A320" s="466" t="s">
        <v>1246</v>
      </c>
      <c r="B320" s="466"/>
      <c r="D320" s="417"/>
      <c r="E320" s="330"/>
      <c r="F320" s="466"/>
      <c r="G320" s="466"/>
      <c r="H320" s="466"/>
      <c r="I320" s="466"/>
      <c r="J320" s="466"/>
      <c r="K320" s="466"/>
      <c r="L320" s="466"/>
      <c r="M320" s="466"/>
      <c r="N320" s="466"/>
    </row>
    <row r="321" spans="1:14" ht="15" customHeight="1">
      <c r="A321" s="419"/>
      <c r="B321" s="419"/>
      <c r="C321" s="896"/>
      <c r="D321" s="465"/>
      <c r="E321" s="334"/>
      <c r="F321" s="419"/>
      <c r="G321" s="419"/>
      <c r="H321" s="419"/>
      <c r="I321" s="419"/>
      <c r="J321" s="419"/>
      <c r="K321" s="419"/>
      <c r="L321" s="419"/>
      <c r="M321" s="419"/>
      <c r="N321" s="419"/>
    </row>
    <row r="322" spans="1:14">
      <c r="A322" s="466"/>
      <c r="B322" s="466"/>
      <c r="D322" s="417"/>
      <c r="E322" s="330"/>
      <c r="F322" s="466"/>
      <c r="G322" s="466"/>
      <c r="H322" s="466"/>
      <c r="I322" s="466"/>
      <c r="J322" s="466"/>
      <c r="K322" s="466"/>
      <c r="L322" s="466"/>
      <c r="M322" s="466"/>
      <c r="N322" s="466"/>
    </row>
  </sheetData>
  <sheetProtection algorithmName="SHA-512" hashValue="CZmeCO+3rQDbExQn/TI6VGhFkzn48+VHQMuxkBPqQcZZ1QaqXgzIvznGymvrg19WZkzWeD/LITXXbbDoSHtOCg==" saltValue="rQZQOJaRb+gi7PoNLNnICQ==" spinCount="100000" sheet="1" objects="1" scenarios="1"/>
  <mergeCells count="20">
    <mergeCell ref="A21:B21"/>
    <mergeCell ref="A313:B313"/>
    <mergeCell ref="A314:B314"/>
    <mergeCell ref="A11:B11"/>
    <mergeCell ref="D11:E11"/>
    <mergeCell ref="F11:G11"/>
    <mergeCell ref="H11:I11"/>
    <mergeCell ref="J11:K12"/>
    <mergeCell ref="L11:M11"/>
    <mergeCell ref="D12:E12"/>
    <mergeCell ref="F12:G12"/>
    <mergeCell ref="H12:I12"/>
    <mergeCell ref="L12:M12"/>
    <mergeCell ref="A3:M3"/>
    <mergeCell ref="A4:M4"/>
    <mergeCell ref="J7:M7"/>
    <mergeCell ref="J8:M8"/>
    <mergeCell ref="D10:E10"/>
    <mergeCell ref="F10:K10"/>
    <mergeCell ref="L10:M10"/>
  </mergeCells>
  <pageMargins left="0.15" right="0.15" top="1" bottom="1" header="0.5" footer="0.5"/>
  <pageSetup paperSize="14" orientation="portrait" verticalDpi="300" r:id="rId1"/>
  <headerFooter alignWithMargins="0">
    <oddHeader>&amp;RPage &amp;P of &amp;N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56"/>
  <sheetViews>
    <sheetView topLeftCell="A445" zoomScale="150" zoomScaleNormal="150" workbookViewId="0">
      <selection activeCell="N22" sqref="N22"/>
    </sheetView>
  </sheetViews>
  <sheetFormatPr defaultColWidth="9.140625" defaultRowHeight="12.75"/>
  <cols>
    <col min="1" max="1" width="2.85546875" style="468" customWidth="1"/>
    <col min="2" max="2" width="37.7109375" style="468" customWidth="1"/>
    <col min="3" max="3" width="8.5703125" style="816" customWidth="1"/>
    <col min="4" max="4" width="1.140625" style="469" customWidth="1"/>
    <col min="5" max="5" width="9.5703125" style="307" customWidth="1"/>
    <col min="6" max="6" width="1.5703125" style="468" customWidth="1"/>
    <col min="7" max="7" width="8.5703125" style="468" customWidth="1"/>
    <col min="8" max="8" width="1.140625" style="469" customWidth="1"/>
    <col min="9" max="9" width="9.5703125" style="468" customWidth="1"/>
    <col min="10" max="10" width="1.140625" style="469" customWidth="1"/>
    <col min="11" max="11" width="9.42578125" style="468" customWidth="1"/>
    <col min="12" max="12" width="1.28515625" style="469" customWidth="1"/>
    <col min="13" max="13" width="9.85546875" style="468" customWidth="1"/>
    <col min="14" max="14" width="1.28515625" style="469" hidden="1" customWidth="1"/>
    <col min="15" max="15" width="9.85546875" style="468" hidden="1" customWidth="1"/>
    <col min="16" max="16" width="14.28515625" style="929" bestFit="1" customWidth="1"/>
    <col min="17" max="17" width="9.140625" style="929"/>
    <col min="18" max="16384" width="9.140625" style="468"/>
  </cols>
  <sheetData>
    <row r="1" spans="1:17">
      <c r="A1" s="467" t="s">
        <v>186</v>
      </c>
      <c r="D1" s="468"/>
      <c r="E1" s="6"/>
      <c r="F1" s="469"/>
      <c r="G1" s="469"/>
      <c r="H1" s="468"/>
      <c r="I1" s="469"/>
      <c r="J1" s="468"/>
      <c r="K1" s="469"/>
      <c r="L1" s="470"/>
      <c r="M1" s="469"/>
      <c r="N1" s="470"/>
      <c r="O1" s="469"/>
    </row>
    <row r="2" spans="1:17" s="471" customFormat="1" ht="16.5" customHeight="1">
      <c r="C2" s="472"/>
      <c r="E2" s="306"/>
      <c r="F2" s="473"/>
      <c r="G2" s="473"/>
      <c r="I2" s="473"/>
      <c r="K2" s="473"/>
      <c r="M2" s="473"/>
      <c r="O2" s="473"/>
      <c r="P2" s="930"/>
      <c r="Q2" s="930"/>
    </row>
    <row r="3" spans="1:17" ht="15.75">
      <c r="A3" s="1412" t="s">
        <v>35</v>
      </c>
      <c r="B3" s="1412"/>
      <c r="C3" s="1412"/>
      <c r="D3" s="1412"/>
      <c r="E3" s="1412"/>
      <c r="F3" s="1412"/>
      <c r="G3" s="1412"/>
      <c r="H3" s="1412"/>
      <c r="I3" s="1412"/>
      <c r="J3" s="1412"/>
      <c r="K3" s="1412"/>
      <c r="L3" s="1412"/>
      <c r="M3" s="1412"/>
      <c r="N3" s="834"/>
      <c r="O3" s="834"/>
      <c r="P3" s="931"/>
    </row>
    <row r="4" spans="1:17" ht="15.75">
      <c r="A4" s="1412" t="s">
        <v>26</v>
      </c>
      <c r="B4" s="1412"/>
      <c r="C4" s="1412"/>
      <c r="D4" s="1412"/>
      <c r="E4" s="1412"/>
      <c r="F4" s="1412"/>
      <c r="G4" s="1412"/>
      <c r="H4" s="1412"/>
      <c r="I4" s="1412"/>
      <c r="J4" s="1412"/>
      <c r="K4" s="1412"/>
      <c r="L4" s="1412"/>
      <c r="M4" s="1412"/>
      <c r="N4" s="834"/>
      <c r="O4" s="834"/>
      <c r="P4" s="931"/>
    </row>
    <row r="5" spans="1:17" s="471" customFormat="1" ht="14.25" customHeight="1">
      <c r="C5" s="472"/>
      <c r="E5" s="306"/>
      <c r="F5" s="473"/>
      <c r="G5" s="473"/>
      <c r="I5" s="473"/>
      <c r="K5" s="473"/>
      <c r="M5" s="473"/>
      <c r="O5" s="473"/>
      <c r="P5" s="930"/>
      <c r="Q5" s="930"/>
    </row>
    <row r="6" spans="1:17">
      <c r="A6" s="468" t="s">
        <v>17</v>
      </c>
      <c r="B6" s="474"/>
      <c r="C6" s="475"/>
      <c r="D6" s="474"/>
      <c r="G6" s="476"/>
    </row>
    <row r="7" spans="1:17">
      <c r="A7" s="468" t="s">
        <v>24</v>
      </c>
      <c r="B7" s="474"/>
      <c r="C7" s="475"/>
      <c r="D7" s="474"/>
      <c r="E7" s="308"/>
      <c r="F7" s="477"/>
      <c r="G7" s="476"/>
      <c r="H7" s="477"/>
      <c r="I7" s="477"/>
      <c r="J7" s="477"/>
      <c r="K7" s="477"/>
      <c r="L7" s="477"/>
      <c r="M7" s="477"/>
      <c r="N7" s="477"/>
      <c r="O7" s="477"/>
    </row>
    <row r="8" spans="1:17">
      <c r="A8" s="468" t="s">
        <v>18</v>
      </c>
      <c r="B8" s="474"/>
      <c r="C8" s="475"/>
      <c r="D8" s="474"/>
      <c r="E8" s="309"/>
      <c r="F8" s="476"/>
      <c r="G8" s="476"/>
      <c r="H8" s="476"/>
      <c r="I8" s="476"/>
      <c r="J8" s="835"/>
      <c r="K8" s="835"/>
      <c r="L8" s="835"/>
      <c r="M8" s="835"/>
      <c r="N8" s="835"/>
      <c r="O8" s="835"/>
    </row>
    <row r="9" spans="1:17">
      <c r="A9" s="468" t="s">
        <v>19</v>
      </c>
      <c r="B9" s="474"/>
      <c r="C9" s="475"/>
      <c r="D9" s="474"/>
      <c r="G9" s="476"/>
    </row>
    <row r="10" spans="1:17" ht="13.5">
      <c r="A10" s="423"/>
      <c r="B10" s="424"/>
      <c r="C10" s="884" t="s">
        <v>5</v>
      </c>
      <c r="D10" s="1390" t="s">
        <v>7</v>
      </c>
      <c r="E10" s="1391"/>
      <c r="F10" s="1402" t="s">
        <v>1304</v>
      </c>
      <c r="G10" s="1403"/>
      <c r="H10" s="1403"/>
      <c r="I10" s="1403"/>
      <c r="J10" s="1403"/>
      <c r="K10" s="1404"/>
      <c r="L10" s="1390" t="s">
        <v>8</v>
      </c>
      <c r="M10" s="1391"/>
      <c r="N10" s="1292" t="s">
        <v>494</v>
      </c>
      <c r="O10" s="1293"/>
    </row>
    <row r="11" spans="1:17" ht="13.5">
      <c r="A11" s="1410" t="s">
        <v>34</v>
      </c>
      <c r="B11" s="1411"/>
      <c r="C11" s="425" t="s">
        <v>6</v>
      </c>
      <c r="D11" s="1410">
        <v>2021</v>
      </c>
      <c r="E11" s="1411"/>
      <c r="F11" s="1390" t="s">
        <v>184</v>
      </c>
      <c r="G11" s="1391"/>
      <c r="H11" s="1390" t="s">
        <v>185</v>
      </c>
      <c r="I11" s="1391"/>
      <c r="J11" s="1394" t="s">
        <v>64</v>
      </c>
      <c r="K11" s="1395"/>
      <c r="L11" s="1410">
        <v>2023</v>
      </c>
      <c r="M11" s="1411"/>
      <c r="N11" s="1294"/>
      <c r="O11" s="1295"/>
    </row>
    <row r="12" spans="1:17" ht="13.5">
      <c r="A12" s="426"/>
      <c r="B12" s="478"/>
      <c r="C12" s="428"/>
      <c r="D12" s="1399" t="s">
        <v>10</v>
      </c>
      <c r="E12" s="1400"/>
      <c r="F12" s="1399" t="s">
        <v>10</v>
      </c>
      <c r="G12" s="1400"/>
      <c r="H12" s="1399" t="s">
        <v>9</v>
      </c>
      <c r="I12" s="1400"/>
      <c r="J12" s="1396"/>
      <c r="K12" s="1397"/>
      <c r="L12" s="1399" t="s">
        <v>27</v>
      </c>
      <c r="M12" s="1400"/>
      <c r="N12" s="1296"/>
      <c r="O12" s="1297"/>
    </row>
    <row r="13" spans="1:17" s="482" customFormat="1" ht="13.5">
      <c r="A13" s="778" t="s">
        <v>870</v>
      </c>
      <c r="B13" s="479"/>
      <c r="C13" s="325"/>
      <c r="D13" s="480"/>
      <c r="E13" s="315"/>
      <c r="F13" s="54"/>
      <c r="G13" s="52"/>
      <c r="H13" s="481"/>
      <c r="I13" s="52"/>
      <c r="J13" s="481"/>
      <c r="K13" s="52"/>
      <c r="L13" s="481"/>
      <c r="M13" s="52"/>
      <c r="N13" s="481"/>
      <c r="O13" s="52"/>
      <c r="P13" s="932"/>
      <c r="Q13" s="932"/>
    </row>
    <row r="14" spans="1:17" s="482" customFormat="1" ht="13.5">
      <c r="A14" s="459" t="s">
        <v>1145</v>
      </c>
      <c r="B14" s="479"/>
      <c r="C14" s="325"/>
      <c r="D14" s="480"/>
      <c r="E14" s="315"/>
      <c r="F14" s="54"/>
      <c r="G14" s="52"/>
      <c r="H14" s="481"/>
      <c r="I14" s="52"/>
      <c r="J14" s="481"/>
      <c r="K14" s="52"/>
      <c r="L14" s="481"/>
      <c r="M14" s="52"/>
      <c r="N14" s="481"/>
      <c r="O14" s="52"/>
      <c r="P14" s="932"/>
      <c r="Q14" s="932"/>
    </row>
    <row r="15" spans="1:17" ht="13.5">
      <c r="A15" s="483" t="s">
        <v>11</v>
      </c>
      <c r="B15" s="484" t="s">
        <v>706</v>
      </c>
      <c r="C15" s="324"/>
      <c r="D15" s="483"/>
      <c r="E15" s="299"/>
      <c r="F15" s="27"/>
      <c r="G15" s="26"/>
      <c r="H15" s="445"/>
      <c r="I15" s="26"/>
      <c r="J15" s="445"/>
      <c r="K15" s="26"/>
      <c r="L15" s="445"/>
      <c r="M15" s="26"/>
      <c r="N15" s="445"/>
      <c r="O15" s="26"/>
    </row>
    <row r="16" spans="1:17" ht="13.5">
      <c r="A16" s="483"/>
      <c r="B16" s="484" t="s">
        <v>613</v>
      </c>
      <c r="C16" s="324" t="s">
        <v>126</v>
      </c>
      <c r="D16" s="434"/>
      <c r="E16" s="299">
        <v>47011</v>
      </c>
      <c r="F16" s="27"/>
      <c r="G16" s="299">
        <v>31500</v>
      </c>
      <c r="H16" s="445"/>
      <c r="I16" s="26">
        <f>K16-G16</f>
        <v>38500</v>
      </c>
      <c r="J16" s="445"/>
      <c r="K16" s="316">
        <v>70000</v>
      </c>
      <c r="L16" s="445"/>
      <c r="M16" s="316">
        <v>150000</v>
      </c>
      <c r="N16" s="445"/>
      <c r="O16" s="316">
        <f>M16-K16</f>
        <v>80000</v>
      </c>
    </row>
    <row r="17" spans="1:16" ht="13.5">
      <c r="A17" s="483"/>
      <c r="B17" s="484" t="s">
        <v>648</v>
      </c>
      <c r="C17" s="324" t="s">
        <v>128</v>
      </c>
      <c r="D17" s="434"/>
      <c r="E17" s="299">
        <v>43050.25</v>
      </c>
      <c r="F17" s="27"/>
      <c r="G17" s="299">
        <v>0</v>
      </c>
      <c r="H17" s="445"/>
      <c r="I17" s="26">
        <f>K17-G17</f>
        <v>83000</v>
      </c>
      <c r="J17" s="445"/>
      <c r="K17" s="316">
        <v>83000</v>
      </c>
      <c r="L17" s="445"/>
      <c r="M17" s="316">
        <v>83000</v>
      </c>
      <c r="N17" s="445"/>
      <c r="O17" s="316">
        <f t="shared" ref="O17:O24" si="0">M17-K17</f>
        <v>0</v>
      </c>
    </row>
    <row r="18" spans="1:16" ht="13.5">
      <c r="A18" s="483"/>
      <c r="B18" s="484" t="s">
        <v>791</v>
      </c>
      <c r="C18" s="324" t="s">
        <v>173</v>
      </c>
      <c r="D18" s="434"/>
      <c r="E18" s="299">
        <v>3800</v>
      </c>
      <c r="F18" s="27"/>
      <c r="G18" s="299">
        <v>0</v>
      </c>
      <c r="H18" s="445"/>
      <c r="I18" s="26">
        <f>K18-G18</f>
        <v>50000</v>
      </c>
      <c r="J18" s="445"/>
      <c r="K18" s="316">
        <v>50000</v>
      </c>
      <c r="L18" s="445"/>
      <c r="M18" s="316">
        <v>50000</v>
      </c>
      <c r="N18" s="445"/>
      <c r="O18" s="316">
        <f t="shared" si="0"/>
        <v>0</v>
      </c>
    </row>
    <row r="19" spans="1:16" ht="13.5">
      <c r="A19" s="483"/>
      <c r="B19" s="484" t="s">
        <v>620</v>
      </c>
      <c r="C19" s="324" t="s">
        <v>129</v>
      </c>
      <c r="D19" s="434"/>
      <c r="E19" s="299">
        <v>37250</v>
      </c>
      <c r="F19" s="27"/>
      <c r="G19" s="299">
        <v>16019.8</v>
      </c>
      <c r="H19" s="445"/>
      <c r="I19" s="26">
        <f>K19-G19</f>
        <v>45980.2</v>
      </c>
      <c r="J19" s="445"/>
      <c r="K19" s="316">
        <v>62000</v>
      </c>
      <c r="L19" s="445"/>
      <c r="M19" s="316">
        <v>100000</v>
      </c>
      <c r="N19" s="445"/>
      <c r="O19" s="316">
        <f t="shared" si="0"/>
        <v>38000</v>
      </c>
    </row>
    <row r="20" spans="1:16" ht="13.5">
      <c r="A20" s="483"/>
      <c r="B20" s="484" t="s">
        <v>792</v>
      </c>
      <c r="C20" s="324" t="s">
        <v>174</v>
      </c>
      <c r="D20" s="434"/>
      <c r="E20" s="299">
        <v>53290.65</v>
      </c>
      <c r="F20" s="27"/>
      <c r="G20" s="299">
        <v>14465.85</v>
      </c>
      <c r="H20" s="445"/>
      <c r="I20" s="26">
        <f t="shared" ref="I20:I21" si="1">K20-G20</f>
        <v>85534.15</v>
      </c>
      <c r="J20" s="445"/>
      <c r="K20" s="316">
        <v>100000</v>
      </c>
      <c r="L20" s="445"/>
      <c r="M20" s="316">
        <v>100000</v>
      </c>
      <c r="N20" s="445"/>
      <c r="O20" s="316">
        <f t="shared" si="0"/>
        <v>0</v>
      </c>
    </row>
    <row r="21" spans="1:16" ht="13.5">
      <c r="A21" s="483"/>
      <c r="B21" s="484" t="s">
        <v>793</v>
      </c>
      <c r="C21" s="324" t="s">
        <v>134</v>
      </c>
      <c r="D21" s="434"/>
      <c r="E21" s="299">
        <v>36000</v>
      </c>
      <c r="F21" s="27"/>
      <c r="G21" s="299">
        <v>17602.48</v>
      </c>
      <c r="H21" s="445"/>
      <c r="I21" s="26">
        <f t="shared" si="1"/>
        <v>27397.52</v>
      </c>
      <c r="J21" s="445"/>
      <c r="K21" s="316">
        <v>45000</v>
      </c>
      <c r="L21" s="445"/>
      <c r="M21" s="316">
        <v>45000</v>
      </c>
      <c r="N21" s="445"/>
      <c r="O21" s="316">
        <f t="shared" si="0"/>
        <v>0</v>
      </c>
    </row>
    <row r="22" spans="1:16" ht="13.5">
      <c r="A22" s="483"/>
      <c r="B22" s="484" t="s">
        <v>1096</v>
      </c>
      <c r="C22" s="324" t="s">
        <v>141</v>
      </c>
      <c r="D22" s="434"/>
      <c r="E22" s="299">
        <v>0</v>
      </c>
      <c r="F22" s="27"/>
      <c r="G22" s="299">
        <v>0</v>
      </c>
      <c r="H22" s="445"/>
      <c r="I22" s="26">
        <f>K22-G22</f>
        <v>50000</v>
      </c>
      <c r="J22" s="445"/>
      <c r="K22" s="316">
        <v>50000</v>
      </c>
      <c r="L22" s="445"/>
      <c r="M22" s="316">
        <v>50000</v>
      </c>
      <c r="N22" s="445"/>
      <c r="O22" s="316">
        <f t="shared" si="0"/>
        <v>0</v>
      </c>
    </row>
    <row r="23" spans="1:16" ht="13.5">
      <c r="A23" s="483"/>
      <c r="B23" s="484" t="s">
        <v>621</v>
      </c>
      <c r="C23" s="443" t="s">
        <v>137</v>
      </c>
      <c r="D23" s="434"/>
      <c r="E23" s="299">
        <v>0</v>
      </c>
      <c r="F23" s="27"/>
      <c r="G23" s="299">
        <v>0</v>
      </c>
      <c r="H23" s="445"/>
      <c r="I23" s="26">
        <f>K23-G23</f>
        <v>9000</v>
      </c>
      <c r="J23" s="445"/>
      <c r="K23" s="316">
        <v>9000</v>
      </c>
      <c r="L23" s="445"/>
      <c r="M23" s="316">
        <v>9000</v>
      </c>
      <c r="N23" s="445"/>
      <c r="O23" s="316">
        <f t="shared" si="0"/>
        <v>0</v>
      </c>
    </row>
    <row r="24" spans="1:16" ht="13.5">
      <c r="A24" s="483"/>
      <c r="B24" s="484" t="s">
        <v>622</v>
      </c>
      <c r="C24" s="324" t="s">
        <v>146</v>
      </c>
      <c r="D24" s="434"/>
      <c r="E24" s="299">
        <v>67118</v>
      </c>
      <c r="F24" s="27"/>
      <c r="G24" s="299">
        <v>4000</v>
      </c>
      <c r="H24" s="445"/>
      <c r="I24" s="26">
        <f>K24-G24</f>
        <v>96000</v>
      </c>
      <c r="J24" s="445"/>
      <c r="K24" s="316">
        <v>100000</v>
      </c>
      <c r="L24" s="445"/>
      <c r="M24" s="316">
        <v>100000</v>
      </c>
      <c r="N24" s="445"/>
      <c r="O24" s="316">
        <f t="shared" si="0"/>
        <v>0</v>
      </c>
      <c r="P24" s="929" t="s">
        <v>1307</v>
      </c>
    </row>
    <row r="25" spans="1:16" ht="13.5">
      <c r="A25" s="483"/>
      <c r="B25" s="484" t="s">
        <v>623</v>
      </c>
      <c r="C25" s="324" t="s">
        <v>148</v>
      </c>
      <c r="D25" s="434"/>
      <c r="E25" s="299">
        <v>0</v>
      </c>
      <c r="F25" s="27"/>
      <c r="G25" s="299"/>
      <c r="H25" s="445"/>
      <c r="I25" s="26"/>
      <c r="J25" s="445"/>
      <c r="K25" s="316"/>
      <c r="L25" s="445"/>
      <c r="M25" s="316"/>
      <c r="N25" s="445"/>
      <c r="O25" s="316"/>
    </row>
    <row r="26" spans="1:16" ht="13.5">
      <c r="A26" s="483"/>
      <c r="B26" s="484" t="s">
        <v>624</v>
      </c>
      <c r="C26" s="324"/>
      <c r="D26" s="434"/>
      <c r="E26" s="299"/>
      <c r="F26" s="27"/>
      <c r="G26" s="299"/>
      <c r="H26" s="445"/>
      <c r="I26" s="26"/>
      <c r="J26" s="445"/>
      <c r="K26" s="316"/>
      <c r="L26" s="445"/>
      <c r="M26" s="316"/>
      <c r="N26" s="445"/>
      <c r="O26" s="316"/>
    </row>
    <row r="27" spans="1:16" ht="13.5">
      <c r="A27" s="483"/>
      <c r="B27" s="484" t="s">
        <v>625</v>
      </c>
      <c r="C27" s="324"/>
      <c r="D27" s="434"/>
      <c r="E27" s="299">
        <v>0</v>
      </c>
      <c r="F27" s="27"/>
      <c r="G27" s="299">
        <v>6000</v>
      </c>
      <c r="H27" s="445"/>
      <c r="I27" s="26">
        <f>K27-G27</f>
        <v>54000</v>
      </c>
      <c r="J27" s="445"/>
      <c r="K27" s="316">
        <v>60000</v>
      </c>
      <c r="L27" s="445"/>
      <c r="M27" s="316">
        <v>150000</v>
      </c>
      <c r="N27" s="445"/>
      <c r="O27" s="316">
        <f t="shared" ref="O27:O30" si="2">M27-K27</f>
        <v>90000</v>
      </c>
    </row>
    <row r="28" spans="1:16" ht="13.5">
      <c r="A28" s="483"/>
      <c r="B28" s="484" t="s">
        <v>794</v>
      </c>
      <c r="C28" s="324"/>
      <c r="D28" s="434"/>
      <c r="E28" s="299">
        <v>82250.649999999994</v>
      </c>
      <c r="F28" s="27"/>
      <c r="G28" s="299">
        <v>0</v>
      </c>
      <c r="H28" s="445"/>
      <c r="I28" s="26">
        <f t="shared" ref="I28:I30" si="3">K28-G28</f>
        <v>300000</v>
      </c>
      <c r="J28" s="445"/>
      <c r="K28" s="316">
        <v>300000</v>
      </c>
      <c r="L28" s="445"/>
      <c r="M28" s="316">
        <v>210000</v>
      </c>
      <c r="N28" s="445"/>
      <c r="O28" s="316">
        <f t="shared" si="2"/>
        <v>-90000</v>
      </c>
    </row>
    <row r="29" spans="1:16" ht="13.5">
      <c r="A29" s="483"/>
      <c r="B29" s="484" t="s">
        <v>654</v>
      </c>
      <c r="C29" s="324"/>
      <c r="D29" s="434"/>
      <c r="E29" s="299">
        <v>4000</v>
      </c>
      <c r="F29" s="27"/>
      <c r="G29" s="299">
        <v>0</v>
      </c>
      <c r="H29" s="445"/>
      <c r="I29" s="26">
        <f t="shared" si="3"/>
        <v>20000</v>
      </c>
      <c r="J29" s="445"/>
      <c r="K29" s="316">
        <v>20000</v>
      </c>
      <c r="L29" s="445"/>
      <c r="M29" s="316">
        <v>20000</v>
      </c>
      <c r="N29" s="445"/>
      <c r="O29" s="316">
        <f t="shared" si="2"/>
        <v>0</v>
      </c>
    </row>
    <row r="30" spans="1:16" ht="13.5">
      <c r="A30" s="483"/>
      <c r="B30" s="484" t="s">
        <v>795</v>
      </c>
      <c r="C30" s="324"/>
      <c r="D30" s="434"/>
      <c r="E30" s="299">
        <v>1730834.37</v>
      </c>
      <c r="F30" s="27"/>
      <c r="G30" s="299">
        <v>1004000</v>
      </c>
      <c r="H30" s="445"/>
      <c r="I30" s="26">
        <f t="shared" si="3"/>
        <v>1004000</v>
      </c>
      <c r="J30" s="445"/>
      <c r="K30" s="316">
        <v>2008000</v>
      </c>
      <c r="L30" s="445"/>
      <c r="M30" s="316">
        <v>2008000</v>
      </c>
      <c r="N30" s="445"/>
      <c r="O30" s="316">
        <f t="shared" si="2"/>
        <v>0</v>
      </c>
    </row>
    <row r="31" spans="1:16" ht="13.5">
      <c r="A31" s="483"/>
      <c r="B31" s="484" t="s">
        <v>519</v>
      </c>
      <c r="C31" s="324"/>
      <c r="D31" s="483"/>
      <c r="E31" s="299"/>
      <c r="F31" s="27"/>
      <c r="G31" s="299"/>
      <c r="H31" s="445"/>
      <c r="I31" s="26"/>
      <c r="J31" s="445"/>
      <c r="K31" s="26"/>
      <c r="L31" s="445"/>
      <c r="M31" s="26"/>
      <c r="N31" s="445"/>
      <c r="O31" s="26"/>
    </row>
    <row r="32" spans="1:16" ht="13.5">
      <c r="A32" s="483"/>
      <c r="B32" s="484" t="s">
        <v>1097</v>
      </c>
      <c r="C32" s="324" t="s">
        <v>151</v>
      </c>
      <c r="D32" s="483"/>
      <c r="E32" s="299"/>
      <c r="F32" s="27"/>
      <c r="G32" s="299"/>
      <c r="H32" s="445"/>
      <c r="I32" s="26"/>
      <c r="J32" s="445"/>
      <c r="K32" s="26"/>
      <c r="L32" s="445"/>
      <c r="M32" s="26"/>
      <c r="N32" s="445"/>
      <c r="O32" s="26"/>
    </row>
    <row r="33" spans="1:15" ht="13.5">
      <c r="A33" s="483"/>
      <c r="B33" s="484" t="s">
        <v>1098</v>
      </c>
      <c r="C33" s="443"/>
      <c r="D33" s="27"/>
      <c r="E33" s="299">
        <v>0</v>
      </c>
      <c r="F33" s="27"/>
      <c r="G33" s="299">
        <v>0</v>
      </c>
      <c r="H33" s="445"/>
      <c r="I33" s="26">
        <f t="shared" ref="I33" si="4">K33-G33</f>
        <v>35000</v>
      </c>
      <c r="J33" s="445"/>
      <c r="K33" s="314">
        <v>35000</v>
      </c>
      <c r="L33" s="445"/>
      <c r="M33" s="316">
        <v>0</v>
      </c>
      <c r="N33" s="445"/>
      <c r="O33" s="316">
        <f>M33-K33</f>
        <v>-35000</v>
      </c>
    </row>
    <row r="34" spans="1:15" ht="13.5">
      <c r="A34" s="458" t="s">
        <v>871</v>
      </c>
      <c r="B34" s="485"/>
      <c r="C34" s="324"/>
      <c r="D34" s="483"/>
      <c r="E34" s="299"/>
      <c r="F34" s="27"/>
      <c r="G34" s="299"/>
      <c r="H34" s="445"/>
      <c r="I34" s="26"/>
      <c r="J34" s="445"/>
      <c r="K34" s="26"/>
      <c r="L34" s="445"/>
      <c r="M34" s="26"/>
      <c r="N34" s="445"/>
      <c r="O34" s="26"/>
    </row>
    <row r="35" spans="1:15" ht="13.5">
      <c r="A35" s="458" t="s">
        <v>872</v>
      </c>
      <c r="B35" s="485"/>
      <c r="C35" s="324"/>
      <c r="D35" s="486"/>
      <c r="E35" s="299"/>
      <c r="F35" s="27"/>
      <c r="G35" s="299"/>
      <c r="H35" s="445"/>
      <c r="I35" s="26"/>
      <c r="J35" s="445"/>
      <c r="K35" s="317"/>
      <c r="L35" s="445"/>
      <c r="M35" s="317"/>
      <c r="N35" s="445"/>
      <c r="O35" s="317"/>
    </row>
    <row r="36" spans="1:15" ht="13.5">
      <c r="A36" s="483"/>
      <c r="B36" s="485" t="s">
        <v>706</v>
      </c>
      <c r="C36" s="324"/>
      <c r="D36" s="486"/>
      <c r="E36" s="299" t="s">
        <v>873</v>
      </c>
      <c r="F36" s="27"/>
      <c r="G36" s="299" t="s">
        <v>873</v>
      </c>
      <c r="H36" s="445"/>
      <c r="I36" s="26"/>
      <c r="J36" s="445"/>
      <c r="K36" s="317"/>
      <c r="L36" s="445"/>
      <c r="M36" s="317"/>
      <c r="N36" s="445"/>
      <c r="O36" s="317"/>
    </row>
    <row r="37" spans="1:15" ht="13.5">
      <c r="A37" s="483"/>
      <c r="B37" s="485" t="s">
        <v>613</v>
      </c>
      <c r="C37" s="324" t="s">
        <v>126</v>
      </c>
      <c r="D37" s="486"/>
      <c r="E37" s="299">
        <v>13890</v>
      </c>
      <c r="F37" s="27"/>
      <c r="G37" s="299">
        <v>9042</v>
      </c>
      <c r="H37" s="445"/>
      <c r="I37" s="26">
        <f>K37-G37</f>
        <v>90958</v>
      </c>
      <c r="J37" s="445"/>
      <c r="K37" s="317">
        <v>100000</v>
      </c>
      <c r="L37" s="445"/>
      <c r="M37" s="316">
        <v>300000</v>
      </c>
      <c r="N37" s="445"/>
      <c r="O37" s="316">
        <f t="shared" ref="O37:O39" si="5">M37-K37</f>
        <v>200000</v>
      </c>
    </row>
    <row r="38" spans="1:15" ht="13.5">
      <c r="A38" s="483"/>
      <c r="B38" s="485" t="s">
        <v>631</v>
      </c>
      <c r="C38" s="324" t="s">
        <v>127</v>
      </c>
      <c r="D38" s="486"/>
      <c r="E38" s="299">
        <v>42600</v>
      </c>
      <c r="F38" s="27"/>
      <c r="G38" s="299">
        <v>0</v>
      </c>
      <c r="H38" s="445"/>
      <c r="I38" s="26">
        <f>K38-G38</f>
        <v>200000</v>
      </c>
      <c r="J38" s="445"/>
      <c r="K38" s="317">
        <v>200000</v>
      </c>
      <c r="L38" s="445"/>
      <c r="M38" s="316">
        <v>200000</v>
      </c>
      <c r="N38" s="445"/>
      <c r="O38" s="316">
        <f t="shared" si="5"/>
        <v>0</v>
      </c>
    </row>
    <row r="39" spans="1:15" ht="13.5">
      <c r="A39" s="458"/>
      <c r="B39" s="318" t="s">
        <v>609</v>
      </c>
      <c r="C39" s="324" t="s">
        <v>129</v>
      </c>
      <c r="D39" s="319"/>
      <c r="E39" s="299">
        <v>2998.92</v>
      </c>
      <c r="F39" s="27"/>
      <c r="G39" s="299">
        <v>0</v>
      </c>
      <c r="H39" s="445"/>
      <c r="I39" s="26">
        <f t="shared" ref="I39" si="6">K39-G39</f>
        <v>200000</v>
      </c>
      <c r="J39" s="445"/>
      <c r="K39" s="320">
        <v>200000</v>
      </c>
      <c r="L39" s="445"/>
      <c r="M39" s="316">
        <v>0</v>
      </c>
      <c r="N39" s="445"/>
      <c r="O39" s="316">
        <f t="shared" si="5"/>
        <v>-200000</v>
      </c>
    </row>
    <row r="40" spans="1:15" ht="13.5">
      <c r="A40" s="483"/>
      <c r="B40" s="485" t="s">
        <v>792</v>
      </c>
      <c r="C40" s="324" t="s">
        <v>174</v>
      </c>
      <c r="D40" s="486"/>
      <c r="E40" s="299">
        <v>1590</v>
      </c>
      <c r="F40" s="27"/>
      <c r="G40" s="299">
        <v>0</v>
      </c>
      <c r="H40" s="445"/>
      <c r="I40" s="26">
        <f t="shared" ref="I40" si="7">K40-G40</f>
        <v>0</v>
      </c>
      <c r="J40" s="445"/>
      <c r="K40" s="320"/>
      <c r="L40" s="445"/>
      <c r="M40" s="317">
        <v>200000</v>
      </c>
      <c r="N40" s="445"/>
      <c r="O40" s="317">
        <v>0</v>
      </c>
    </row>
    <row r="41" spans="1:15" ht="13.5">
      <c r="A41" s="483"/>
      <c r="B41" s="485" t="s">
        <v>875</v>
      </c>
      <c r="C41" s="324" t="s">
        <v>148</v>
      </c>
      <c r="D41" s="486"/>
      <c r="E41" s="299">
        <v>0</v>
      </c>
      <c r="F41" s="27"/>
      <c r="G41" s="299"/>
      <c r="H41" s="445"/>
      <c r="I41" s="26"/>
      <c r="J41" s="445"/>
      <c r="K41" s="316"/>
      <c r="L41" s="445"/>
      <c r="M41" s="316"/>
      <c r="N41" s="445"/>
      <c r="O41" s="316"/>
    </row>
    <row r="42" spans="1:15" ht="25.5">
      <c r="A42" s="483"/>
      <c r="B42" s="883" t="s">
        <v>1359</v>
      </c>
      <c r="C42" s="324"/>
      <c r="D42" s="486"/>
      <c r="E42" s="299">
        <v>0</v>
      </c>
      <c r="F42" s="27"/>
      <c r="G42" s="299">
        <v>0</v>
      </c>
      <c r="H42" s="445"/>
      <c r="I42" s="26">
        <f>K42-G42</f>
        <v>0</v>
      </c>
      <c r="J42" s="445"/>
      <c r="K42" s="316">
        <v>0</v>
      </c>
      <c r="L42" s="445"/>
      <c r="M42" s="316">
        <v>120000</v>
      </c>
      <c r="N42" s="445"/>
      <c r="O42" s="316">
        <f t="shared" ref="O42" si="8">M42-K42</f>
        <v>120000</v>
      </c>
    </row>
    <row r="43" spans="1:15" ht="13.5">
      <c r="A43" s="458" t="s">
        <v>874</v>
      </c>
      <c r="B43" s="485"/>
      <c r="C43" s="324"/>
      <c r="D43" s="486"/>
      <c r="E43" s="299"/>
      <c r="F43" s="27"/>
      <c r="G43" s="299"/>
      <c r="H43" s="445"/>
      <c r="I43" s="26"/>
      <c r="J43" s="445"/>
      <c r="K43" s="316"/>
      <c r="L43" s="445"/>
      <c r="M43" s="316"/>
      <c r="N43" s="445"/>
      <c r="O43" s="316"/>
    </row>
    <row r="44" spans="1:15" ht="13.5">
      <c r="A44" s="483"/>
      <c r="B44" s="485" t="s">
        <v>706</v>
      </c>
      <c r="C44" s="324"/>
      <c r="D44" s="486"/>
      <c r="E44" s="299"/>
      <c r="F44" s="27"/>
      <c r="G44" s="299"/>
      <c r="H44" s="445"/>
      <c r="I44" s="26"/>
      <c r="J44" s="445"/>
      <c r="K44" s="316"/>
      <c r="L44" s="445"/>
      <c r="M44" s="316"/>
      <c r="N44" s="445"/>
      <c r="O44" s="316"/>
    </row>
    <row r="45" spans="1:15" ht="13.5">
      <c r="A45" s="483"/>
      <c r="B45" s="485" t="s">
        <v>868</v>
      </c>
      <c r="C45" s="324" t="s">
        <v>128</v>
      </c>
      <c r="D45" s="486"/>
      <c r="E45" s="299">
        <v>0</v>
      </c>
      <c r="F45" s="27"/>
      <c r="G45" s="299">
        <v>4500</v>
      </c>
      <c r="H45" s="445"/>
      <c r="I45" s="26">
        <f>K45-G45</f>
        <v>500</v>
      </c>
      <c r="J45" s="445"/>
      <c r="K45" s="316">
        <v>5000</v>
      </c>
      <c r="L45" s="445"/>
      <c r="M45" s="316">
        <v>15000</v>
      </c>
      <c r="N45" s="445"/>
      <c r="O45" s="316">
        <f t="shared" ref="O45:O48" si="9">M45-K45</f>
        <v>10000</v>
      </c>
    </row>
    <row r="46" spans="1:15" ht="13.5">
      <c r="A46" s="483"/>
      <c r="B46" s="485" t="s">
        <v>502</v>
      </c>
      <c r="C46" s="324" t="s">
        <v>174</v>
      </c>
      <c r="D46" s="486"/>
      <c r="E46" s="299">
        <v>182240</v>
      </c>
      <c r="F46" s="27"/>
      <c r="G46" s="299">
        <v>81000</v>
      </c>
      <c r="H46" s="445"/>
      <c r="I46" s="26">
        <f>K46-G46</f>
        <v>9000</v>
      </c>
      <c r="J46" s="445"/>
      <c r="K46" s="316">
        <v>90000</v>
      </c>
      <c r="L46" s="445"/>
      <c r="M46" s="316">
        <v>183000</v>
      </c>
      <c r="N46" s="445"/>
      <c r="O46" s="316">
        <f t="shared" ref="O46" si="10">M46-K46</f>
        <v>93000</v>
      </c>
    </row>
    <row r="47" spans="1:15" ht="13.5">
      <c r="A47" s="483"/>
      <c r="B47" s="485" t="s">
        <v>609</v>
      </c>
      <c r="C47" s="324" t="s">
        <v>129</v>
      </c>
      <c r="D47" s="486"/>
      <c r="E47" s="299">
        <v>0</v>
      </c>
      <c r="F47" s="27"/>
      <c r="G47" s="299">
        <v>0</v>
      </c>
      <c r="H47" s="445"/>
      <c r="I47" s="26">
        <f>K47-G47</f>
        <v>0</v>
      </c>
      <c r="J47" s="445"/>
      <c r="K47" s="316">
        <v>0</v>
      </c>
      <c r="L47" s="445"/>
      <c r="M47" s="316">
        <v>20000</v>
      </c>
      <c r="N47" s="445"/>
      <c r="O47" s="316">
        <f t="shared" si="9"/>
        <v>20000</v>
      </c>
    </row>
    <row r="48" spans="1:15" ht="13.5">
      <c r="A48" s="483"/>
      <c r="B48" s="485" t="s">
        <v>621</v>
      </c>
      <c r="C48" s="443" t="s">
        <v>137</v>
      </c>
      <c r="D48" s="486"/>
      <c r="E48" s="299">
        <v>0</v>
      </c>
      <c r="F48" s="27"/>
      <c r="G48" s="299">
        <v>2700</v>
      </c>
      <c r="H48" s="445"/>
      <c r="I48" s="26">
        <f t="shared" ref="I48" si="11">K48-G48</f>
        <v>300</v>
      </c>
      <c r="J48" s="445"/>
      <c r="K48" s="316">
        <v>3000</v>
      </c>
      <c r="L48" s="445"/>
      <c r="M48" s="316">
        <v>5000</v>
      </c>
      <c r="N48" s="445"/>
      <c r="O48" s="316">
        <f t="shared" si="9"/>
        <v>2000</v>
      </c>
    </row>
    <row r="49" spans="1:15" ht="13.5">
      <c r="A49" s="483"/>
      <c r="B49" s="485" t="s">
        <v>875</v>
      </c>
      <c r="C49" s="324" t="s">
        <v>148</v>
      </c>
      <c r="D49" s="486"/>
      <c r="E49" s="299"/>
      <c r="F49" s="27"/>
      <c r="G49" s="299"/>
      <c r="H49" s="445"/>
      <c r="I49" s="26"/>
      <c r="J49" s="445"/>
      <c r="K49" s="316"/>
      <c r="L49" s="445"/>
      <c r="M49" s="316"/>
      <c r="N49" s="445"/>
      <c r="O49" s="316"/>
    </row>
    <row r="50" spans="1:15" ht="13.5">
      <c r="A50" s="483"/>
      <c r="B50" s="485" t="s">
        <v>694</v>
      </c>
      <c r="C50" s="324"/>
      <c r="D50" s="486"/>
      <c r="E50" s="299">
        <v>0</v>
      </c>
      <c r="F50" s="27"/>
      <c r="G50" s="299">
        <v>9800</v>
      </c>
      <c r="H50" s="445"/>
      <c r="I50" s="26">
        <f>K50-G50</f>
        <v>40200</v>
      </c>
      <c r="J50" s="445"/>
      <c r="K50" s="316">
        <v>50000</v>
      </c>
      <c r="L50" s="445"/>
      <c r="M50" s="316">
        <v>70000</v>
      </c>
      <c r="N50" s="445"/>
      <c r="O50" s="316">
        <f t="shared" ref="O50:O52" si="12">M50-K50</f>
        <v>20000</v>
      </c>
    </row>
    <row r="51" spans="1:15" ht="13.5">
      <c r="A51" s="483"/>
      <c r="B51" s="485" t="s">
        <v>695</v>
      </c>
      <c r="C51" s="324"/>
      <c r="D51" s="486"/>
      <c r="E51" s="299">
        <v>10000</v>
      </c>
      <c r="F51" s="27"/>
      <c r="G51" s="299">
        <v>18000</v>
      </c>
      <c r="H51" s="445"/>
      <c r="I51" s="26">
        <f>K51-G51</f>
        <v>2000</v>
      </c>
      <c r="J51" s="445"/>
      <c r="K51" s="316">
        <v>20000</v>
      </c>
      <c r="L51" s="445"/>
      <c r="M51" s="316">
        <v>50000</v>
      </c>
      <c r="N51" s="445"/>
      <c r="O51" s="316">
        <f t="shared" si="12"/>
        <v>30000</v>
      </c>
    </row>
    <row r="52" spans="1:15" ht="13.5">
      <c r="A52" s="483"/>
      <c r="B52" s="485" t="s">
        <v>696</v>
      </c>
      <c r="C52" s="324"/>
      <c r="D52" s="486"/>
      <c r="E52" s="299">
        <v>0</v>
      </c>
      <c r="F52" s="27"/>
      <c r="G52" s="299">
        <v>73800</v>
      </c>
      <c r="H52" s="445"/>
      <c r="I52" s="26">
        <f>K52-G52</f>
        <v>8200</v>
      </c>
      <c r="J52" s="445"/>
      <c r="K52" s="316">
        <v>82000</v>
      </c>
      <c r="L52" s="445"/>
      <c r="M52" s="316">
        <v>82000</v>
      </c>
      <c r="N52" s="445"/>
      <c r="O52" s="316">
        <f t="shared" si="12"/>
        <v>0</v>
      </c>
    </row>
    <row r="53" spans="1:15" ht="13.5">
      <c r="A53" s="483" t="s">
        <v>876</v>
      </c>
      <c r="B53" s="485"/>
      <c r="C53" s="324"/>
      <c r="D53" s="486"/>
      <c r="E53" s="299"/>
      <c r="F53" s="27"/>
      <c r="G53" s="299"/>
      <c r="H53" s="445"/>
      <c r="I53" s="26"/>
      <c r="J53" s="445"/>
      <c r="K53" s="316"/>
      <c r="L53" s="445"/>
      <c r="M53" s="316"/>
      <c r="N53" s="445"/>
      <c r="O53" s="316"/>
    </row>
    <row r="54" spans="1:15" ht="13.5">
      <c r="A54" s="483"/>
      <c r="B54" s="485" t="s">
        <v>706</v>
      </c>
      <c r="C54" s="324"/>
      <c r="D54" s="486"/>
      <c r="E54" s="299"/>
      <c r="F54" s="27"/>
      <c r="G54" s="299"/>
      <c r="H54" s="445"/>
      <c r="I54" s="26"/>
      <c r="J54" s="445"/>
      <c r="K54" s="316"/>
      <c r="L54" s="445"/>
      <c r="M54" s="316"/>
      <c r="N54" s="445"/>
      <c r="O54" s="316"/>
    </row>
    <row r="55" spans="1:15" ht="13.5">
      <c r="A55" s="483"/>
      <c r="B55" s="485" t="s">
        <v>1099</v>
      </c>
      <c r="C55" s="324" t="s">
        <v>126</v>
      </c>
      <c r="D55" s="486"/>
      <c r="E55" s="299">
        <v>0</v>
      </c>
      <c r="F55" s="27"/>
      <c r="G55" s="299">
        <v>0</v>
      </c>
      <c r="H55" s="445"/>
      <c r="I55" s="26">
        <f>K55-G55</f>
        <v>20000</v>
      </c>
      <c r="J55" s="445"/>
      <c r="K55" s="316">
        <v>20000</v>
      </c>
      <c r="L55" s="445"/>
      <c r="M55" s="316">
        <v>20000</v>
      </c>
      <c r="N55" s="445"/>
      <c r="O55" s="316">
        <f>M55-K55</f>
        <v>0</v>
      </c>
    </row>
    <row r="56" spans="1:15" ht="13.5">
      <c r="A56" s="483"/>
      <c r="B56" s="485" t="s">
        <v>588</v>
      </c>
      <c r="C56" s="324" t="s">
        <v>148</v>
      </c>
      <c r="D56" s="486"/>
      <c r="E56" s="299"/>
      <c r="F56" s="27"/>
      <c r="G56" s="299"/>
      <c r="H56" s="445"/>
      <c r="I56" s="26"/>
      <c r="J56" s="445"/>
      <c r="K56" s="316"/>
      <c r="L56" s="445"/>
      <c r="M56" s="316"/>
      <c r="N56" s="445"/>
      <c r="O56" s="316"/>
    </row>
    <row r="57" spans="1:15" ht="13.5">
      <c r="A57" s="890"/>
      <c r="B57" s="494" t="s">
        <v>1360</v>
      </c>
      <c r="C57" s="326"/>
      <c r="D57" s="712"/>
      <c r="E57" s="302">
        <v>33750</v>
      </c>
      <c r="F57" s="60"/>
      <c r="G57" s="302">
        <v>38900</v>
      </c>
      <c r="H57" s="450"/>
      <c r="I57" s="31">
        <f>K57-G57</f>
        <v>61100</v>
      </c>
      <c r="J57" s="450"/>
      <c r="K57" s="713">
        <v>100000</v>
      </c>
      <c r="L57" s="450"/>
      <c r="M57" s="713">
        <v>100000</v>
      </c>
      <c r="N57" s="445"/>
      <c r="O57" s="316">
        <f>M57-K57</f>
        <v>0</v>
      </c>
    </row>
    <row r="58" spans="1:15" ht="13.5">
      <c r="A58" s="483"/>
      <c r="B58" s="485" t="s">
        <v>526</v>
      </c>
      <c r="C58" s="324"/>
      <c r="D58" s="486"/>
      <c r="E58" s="299">
        <v>0</v>
      </c>
      <c r="F58" s="27"/>
      <c r="G58" s="299">
        <v>0</v>
      </c>
      <c r="H58" s="445"/>
      <c r="I58" s="26">
        <v>0</v>
      </c>
      <c r="J58" s="445"/>
      <c r="K58" s="316"/>
      <c r="L58" s="445"/>
      <c r="M58" s="316"/>
      <c r="N58" s="445"/>
      <c r="O58" s="316"/>
    </row>
    <row r="59" spans="1:15" ht="13.5">
      <c r="A59" s="483"/>
      <c r="B59" s="485" t="s">
        <v>519</v>
      </c>
      <c r="C59" s="324"/>
      <c r="D59" s="486"/>
      <c r="E59" s="299"/>
      <c r="F59" s="27"/>
      <c r="G59" s="299"/>
      <c r="H59" s="445"/>
      <c r="I59" s="26"/>
      <c r="J59" s="445"/>
      <c r="K59" s="316"/>
      <c r="L59" s="445"/>
      <c r="M59" s="316"/>
      <c r="N59" s="445"/>
      <c r="O59" s="316"/>
    </row>
    <row r="60" spans="1:15" ht="13.5">
      <c r="A60" s="483"/>
      <c r="B60" s="484" t="s">
        <v>1097</v>
      </c>
      <c r="C60" s="324" t="s">
        <v>151</v>
      </c>
      <c r="D60" s="486"/>
      <c r="E60" s="299"/>
      <c r="F60" s="27"/>
      <c r="G60" s="299"/>
      <c r="H60" s="445"/>
      <c r="I60" s="26"/>
      <c r="J60" s="445"/>
      <c r="K60" s="316"/>
      <c r="L60" s="445"/>
      <c r="M60" s="316"/>
      <c r="N60" s="445"/>
      <c r="O60" s="316"/>
    </row>
    <row r="61" spans="1:15" ht="13.5">
      <c r="A61" s="483"/>
      <c r="B61" s="484" t="s">
        <v>1098</v>
      </c>
      <c r="C61" s="443"/>
      <c r="D61" s="486"/>
      <c r="E61" s="299">
        <v>0</v>
      </c>
      <c r="F61" s="27"/>
      <c r="G61" s="299">
        <v>0</v>
      </c>
      <c r="H61" s="445"/>
      <c r="I61" s="26">
        <f>K61-G61</f>
        <v>35000</v>
      </c>
      <c r="J61" s="445"/>
      <c r="K61" s="316">
        <v>35000</v>
      </c>
      <c r="L61" s="445"/>
      <c r="M61" s="316">
        <v>0</v>
      </c>
      <c r="N61" s="445"/>
      <c r="O61" s="316">
        <f>M61-K61</f>
        <v>-35000</v>
      </c>
    </row>
    <row r="62" spans="1:15" ht="13.5">
      <c r="A62" s="458" t="s">
        <v>1100</v>
      </c>
      <c r="B62" s="485"/>
      <c r="C62" s="324"/>
      <c r="D62" s="486"/>
      <c r="E62" s="299"/>
      <c r="F62" s="27"/>
      <c r="G62" s="299"/>
      <c r="H62" s="445"/>
      <c r="I62" s="26"/>
      <c r="J62" s="445"/>
      <c r="K62" s="316"/>
      <c r="L62" s="445"/>
      <c r="M62" s="316"/>
      <c r="N62" s="450"/>
      <c r="O62" s="713"/>
    </row>
    <row r="63" spans="1:15" ht="13.5">
      <c r="A63" s="483"/>
      <c r="B63" s="485" t="s">
        <v>591</v>
      </c>
      <c r="C63" s="324"/>
      <c r="D63" s="486"/>
      <c r="E63" s="299"/>
      <c r="F63" s="27"/>
      <c r="G63" s="299"/>
      <c r="H63" s="445"/>
      <c r="I63" s="26"/>
      <c r="J63" s="445"/>
      <c r="K63" s="316"/>
      <c r="L63" s="445"/>
      <c r="M63" s="316"/>
      <c r="N63" s="445"/>
      <c r="O63" s="316"/>
    </row>
    <row r="64" spans="1:15" ht="13.5">
      <c r="A64" s="483"/>
      <c r="B64" s="485" t="s">
        <v>724</v>
      </c>
      <c r="C64" s="324" t="s">
        <v>126</v>
      </c>
      <c r="D64" s="486"/>
      <c r="E64" s="299">
        <v>0</v>
      </c>
      <c r="F64" s="27"/>
      <c r="G64" s="299">
        <v>18000</v>
      </c>
      <c r="H64" s="445"/>
      <c r="I64" s="26">
        <f>K64-G64</f>
        <v>2000</v>
      </c>
      <c r="J64" s="445"/>
      <c r="K64" s="316">
        <v>20000</v>
      </c>
      <c r="L64" s="445"/>
      <c r="M64" s="316">
        <v>35000</v>
      </c>
      <c r="N64" s="445"/>
      <c r="O64" s="316">
        <f t="shared" ref="O64:O67" si="13">M64-K64</f>
        <v>15000</v>
      </c>
    </row>
    <row r="65" spans="1:15" ht="13.5">
      <c r="A65" s="483"/>
      <c r="B65" s="485" t="s">
        <v>797</v>
      </c>
      <c r="C65" s="443" t="s">
        <v>129</v>
      </c>
      <c r="D65" s="486"/>
      <c r="E65" s="299">
        <v>0</v>
      </c>
      <c r="F65" s="27"/>
      <c r="G65" s="299">
        <v>0</v>
      </c>
      <c r="H65" s="445"/>
      <c r="I65" s="26">
        <f>K65-G65</f>
        <v>0</v>
      </c>
      <c r="J65" s="445"/>
      <c r="K65" s="316">
        <v>0</v>
      </c>
      <c r="L65" s="445"/>
      <c r="M65" s="316">
        <v>5000</v>
      </c>
      <c r="N65" s="445"/>
      <c r="O65" s="316">
        <f>M65-K65</f>
        <v>5000</v>
      </c>
    </row>
    <row r="66" spans="1:15" ht="13.5">
      <c r="A66" s="483"/>
      <c r="B66" s="485" t="s">
        <v>592</v>
      </c>
      <c r="C66" s="324" t="s">
        <v>174</v>
      </c>
      <c r="D66" s="486"/>
      <c r="E66" s="299">
        <v>0</v>
      </c>
      <c r="F66" s="27"/>
      <c r="G66" s="299">
        <v>34200</v>
      </c>
      <c r="H66" s="445"/>
      <c r="I66" s="26">
        <f t="shared" ref="I66:I67" si="14">K66-G66</f>
        <v>3800</v>
      </c>
      <c r="J66" s="445"/>
      <c r="K66" s="316">
        <v>38000</v>
      </c>
      <c r="L66" s="445"/>
      <c r="M66" s="316">
        <v>55000</v>
      </c>
      <c r="N66" s="445"/>
      <c r="O66" s="316">
        <f t="shared" si="13"/>
        <v>17000</v>
      </c>
    </row>
    <row r="67" spans="1:15" ht="13.5">
      <c r="A67" s="483"/>
      <c r="B67" s="485" t="s">
        <v>697</v>
      </c>
      <c r="C67" s="443" t="s">
        <v>137</v>
      </c>
      <c r="D67" s="486"/>
      <c r="E67" s="299">
        <v>0</v>
      </c>
      <c r="F67" s="27"/>
      <c r="G67" s="299">
        <v>1800</v>
      </c>
      <c r="H67" s="445"/>
      <c r="I67" s="26">
        <f t="shared" si="14"/>
        <v>200</v>
      </c>
      <c r="J67" s="445"/>
      <c r="K67" s="316">
        <v>2000</v>
      </c>
      <c r="L67" s="445"/>
      <c r="M67" s="316">
        <v>5000</v>
      </c>
      <c r="N67" s="445"/>
      <c r="O67" s="316">
        <f t="shared" si="13"/>
        <v>3000</v>
      </c>
    </row>
    <row r="68" spans="1:15" ht="13.5">
      <c r="A68" s="483"/>
      <c r="B68" s="485" t="s">
        <v>693</v>
      </c>
      <c r="C68" s="324" t="s">
        <v>148</v>
      </c>
      <c r="D68" s="486"/>
      <c r="E68" s="299"/>
      <c r="F68" s="27"/>
      <c r="G68" s="299"/>
      <c r="H68" s="445"/>
      <c r="I68" s="26"/>
      <c r="J68" s="445"/>
      <c r="K68" s="316"/>
      <c r="L68" s="445"/>
      <c r="M68" s="316"/>
      <c r="N68" s="445"/>
      <c r="O68" s="316"/>
    </row>
    <row r="69" spans="1:15" ht="25.5">
      <c r="A69" s="483"/>
      <c r="B69" s="883" t="s">
        <v>796</v>
      </c>
      <c r="C69" s="324"/>
      <c r="D69" s="486"/>
      <c r="E69" s="299">
        <v>0</v>
      </c>
      <c r="F69" s="27"/>
      <c r="G69" s="299">
        <v>36000</v>
      </c>
      <c r="H69" s="445"/>
      <c r="I69" s="26">
        <f>K69-G69</f>
        <v>4000</v>
      </c>
      <c r="J69" s="445"/>
      <c r="K69" s="316">
        <v>40000</v>
      </c>
      <c r="L69" s="445"/>
      <c r="M69" s="316">
        <v>50000</v>
      </c>
      <c r="N69" s="445"/>
      <c r="O69" s="316">
        <f>M69-K69</f>
        <v>10000</v>
      </c>
    </row>
    <row r="70" spans="1:15" ht="13.5">
      <c r="A70" s="458" t="s">
        <v>1101</v>
      </c>
      <c r="B70" s="485"/>
      <c r="C70" s="324"/>
      <c r="D70" s="486"/>
      <c r="E70" s="299"/>
      <c r="F70" s="27"/>
      <c r="G70" s="299"/>
      <c r="H70" s="445"/>
      <c r="I70" s="26"/>
      <c r="J70" s="445"/>
      <c r="K70" s="316"/>
      <c r="L70" s="445"/>
      <c r="M70" s="316"/>
      <c r="N70" s="445"/>
      <c r="O70" s="316"/>
    </row>
    <row r="71" spans="1:15" ht="13.5">
      <c r="A71" s="483"/>
      <c r="B71" s="485" t="s">
        <v>591</v>
      </c>
      <c r="C71" s="324"/>
      <c r="D71" s="486"/>
      <c r="E71" s="299"/>
      <c r="F71" s="27"/>
      <c r="G71" s="299"/>
      <c r="H71" s="445"/>
      <c r="I71" s="26"/>
      <c r="J71" s="445"/>
      <c r="K71" s="316"/>
      <c r="L71" s="445"/>
      <c r="M71" s="316"/>
      <c r="N71" s="445"/>
      <c r="O71" s="316"/>
    </row>
    <row r="72" spans="1:15" ht="13.5">
      <c r="A72" s="483"/>
      <c r="B72" s="485" t="s">
        <v>797</v>
      </c>
      <c r="C72" s="443" t="s">
        <v>129</v>
      </c>
      <c r="D72" s="486"/>
      <c r="E72" s="299">
        <v>0</v>
      </c>
      <c r="F72" s="27"/>
      <c r="G72" s="299">
        <v>0</v>
      </c>
      <c r="H72" s="445"/>
      <c r="I72" s="26">
        <f>K72-G72</f>
        <v>20000</v>
      </c>
      <c r="J72" s="445"/>
      <c r="K72" s="316">
        <v>20000</v>
      </c>
      <c r="L72" s="445"/>
      <c r="M72" s="316">
        <v>30000</v>
      </c>
      <c r="N72" s="445"/>
      <c r="O72" s="316">
        <f>M72-K72</f>
        <v>10000</v>
      </c>
    </row>
    <row r="73" spans="1:15" ht="13.5">
      <c r="A73" s="483"/>
      <c r="B73" s="485" t="s">
        <v>693</v>
      </c>
      <c r="C73" s="324" t="s">
        <v>148</v>
      </c>
      <c r="D73" s="486"/>
      <c r="E73" s="299"/>
      <c r="F73" s="27"/>
      <c r="G73" s="299"/>
      <c r="H73" s="445"/>
      <c r="I73" s="26"/>
      <c r="J73" s="445"/>
      <c r="K73" s="316"/>
      <c r="L73" s="445"/>
      <c r="M73" s="316"/>
      <c r="N73" s="445"/>
      <c r="O73" s="316"/>
    </row>
    <row r="74" spans="1:15" ht="13.5">
      <c r="A74" s="483"/>
      <c r="B74" s="485" t="s">
        <v>798</v>
      </c>
      <c r="C74" s="324"/>
      <c r="D74" s="486"/>
      <c r="E74" s="299">
        <v>0</v>
      </c>
      <c r="F74" s="27"/>
      <c r="G74" s="299">
        <v>0</v>
      </c>
      <c r="H74" s="445"/>
      <c r="I74" s="26">
        <f>K74-G74</f>
        <v>30000</v>
      </c>
      <c r="J74" s="445"/>
      <c r="K74" s="316">
        <v>30000</v>
      </c>
      <c r="L74" s="445"/>
      <c r="M74" s="316">
        <v>40000</v>
      </c>
      <c r="N74" s="445"/>
      <c r="O74" s="316">
        <f>M74-K74</f>
        <v>10000</v>
      </c>
    </row>
    <row r="75" spans="1:15" ht="13.5">
      <c r="A75" s="483"/>
      <c r="B75" s="485" t="s">
        <v>694</v>
      </c>
      <c r="C75" s="324"/>
      <c r="D75" s="486"/>
      <c r="E75" s="299">
        <v>0</v>
      </c>
      <c r="F75" s="27"/>
      <c r="G75" s="299">
        <v>0</v>
      </c>
      <c r="H75" s="445"/>
      <c r="I75" s="26">
        <f>K75-G75</f>
        <v>0</v>
      </c>
      <c r="J75" s="445"/>
      <c r="K75" s="316">
        <v>0</v>
      </c>
      <c r="L75" s="445"/>
      <c r="M75" s="316">
        <v>10000</v>
      </c>
      <c r="N75" s="445"/>
      <c r="O75" s="316">
        <f>M75-K75</f>
        <v>10000</v>
      </c>
    </row>
    <row r="76" spans="1:15" ht="13.5">
      <c r="A76" s="458" t="s">
        <v>1102</v>
      </c>
      <c r="B76" s="485"/>
      <c r="C76" s="324"/>
      <c r="D76" s="486"/>
      <c r="E76" s="299"/>
      <c r="F76" s="27"/>
      <c r="G76" s="299"/>
      <c r="H76" s="445"/>
      <c r="I76" s="26"/>
      <c r="J76" s="445"/>
      <c r="K76" s="317"/>
      <c r="L76" s="445"/>
      <c r="M76" s="317"/>
      <c r="N76" s="445"/>
      <c r="O76" s="317"/>
    </row>
    <row r="77" spans="1:15" ht="13.5">
      <c r="A77" s="483"/>
      <c r="B77" s="485" t="s">
        <v>591</v>
      </c>
      <c r="C77" s="324"/>
      <c r="D77" s="486"/>
      <c r="E77" s="299"/>
      <c r="F77" s="27"/>
      <c r="G77" s="299"/>
      <c r="H77" s="445"/>
      <c r="I77" s="26"/>
      <c r="J77" s="445"/>
      <c r="K77" s="317"/>
      <c r="L77" s="445"/>
      <c r="M77" s="317"/>
      <c r="N77" s="445"/>
      <c r="O77" s="317"/>
    </row>
    <row r="78" spans="1:15" ht="13.5">
      <c r="A78" s="483"/>
      <c r="B78" s="485" t="s">
        <v>724</v>
      </c>
      <c r="C78" s="324" t="s">
        <v>126</v>
      </c>
      <c r="D78" s="486"/>
      <c r="E78" s="299">
        <v>0</v>
      </c>
      <c r="F78" s="27"/>
      <c r="G78" s="299">
        <v>5400</v>
      </c>
      <c r="H78" s="445"/>
      <c r="I78" s="26">
        <f>K78-G78</f>
        <v>94600</v>
      </c>
      <c r="J78" s="445"/>
      <c r="K78" s="317">
        <v>100000</v>
      </c>
      <c r="L78" s="445"/>
      <c r="M78" s="316">
        <v>100000</v>
      </c>
      <c r="N78" s="445"/>
      <c r="O78" s="316">
        <f t="shared" ref="O78:O79" si="15">M78-K78</f>
        <v>0</v>
      </c>
    </row>
    <row r="79" spans="1:15" ht="13.5">
      <c r="A79" s="483"/>
      <c r="B79" s="485" t="s">
        <v>725</v>
      </c>
      <c r="C79" s="324" t="s">
        <v>127</v>
      </c>
      <c r="D79" s="486"/>
      <c r="E79" s="299">
        <v>0</v>
      </c>
      <c r="F79" s="27"/>
      <c r="G79" s="299">
        <v>0</v>
      </c>
      <c r="H79" s="445"/>
      <c r="I79" s="26">
        <f>K79-G79</f>
        <v>100000</v>
      </c>
      <c r="J79" s="445"/>
      <c r="K79" s="317">
        <v>100000</v>
      </c>
      <c r="L79" s="445"/>
      <c r="M79" s="316">
        <v>100000</v>
      </c>
      <c r="N79" s="445"/>
      <c r="O79" s="316">
        <f t="shared" si="15"/>
        <v>0</v>
      </c>
    </row>
    <row r="80" spans="1:15" ht="13.5">
      <c r="A80" s="483"/>
      <c r="B80" s="485" t="s">
        <v>693</v>
      </c>
      <c r="C80" s="324" t="s">
        <v>148</v>
      </c>
      <c r="D80" s="486"/>
      <c r="E80" s="299"/>
      <c r="F80" s="27"/>
      <c r="G80" s="299"/>
      <c r="H80" s="445"/>
      <c r="I80" s="26"/>
      <c r="J80" s="445"/>
      <c r="K80" s="317"/>
      <c r="L80" s="445"/>
      <c r="M80" s="317"/>
      <c r="N80" s="445"/>
      <c r="O80" s="317"/>
    </row>
    <row r="81" spans="1:15" ht="13.5">
      <c r="A81" s="483"/>
      <c r="B81" s="485" t="s">
        <v>799</v>
      </c>
      <c r="C81" s="324"/>
      <c r="D81" s="486"/>
      <c r="E81" s="299">
        <v>0</v>
      </c>
      <c r="F81" s="27"/>
      <c r="G81" s="299">
        <v>0</v>
      </c>
      <c r="H81" s="445"/>
      <c r="I81" s="26">
        <f>K81-G81</f>
        <v>100000</v>
      </c>
      <c r="J81" s="445"/>
      <c r="K81" s="317">
        <v>100000</v>
      </c>
      <c r="L81" s="445"/>
      <c r="M81" s="316">
        <v>100000</v>
      </c>
      <c r="N81" s="445"/>
      <c r="O81" s="316">
        <f>M81-K81</f>
        <v>0</v>
      </c>
    </row>
    <row r="82" spans="1:15" ht="13.5">
      <c r="A82" s="458" t="s">
        <v>1103</v>
      </c>
      <c r="B82" s="485"/>
      <c r="C82" s="324"/>
      <c r="D82" s="486"/>
      <c r="E82" s="299"/>
      <c r="F82" s="27"/>
      <c r="G82" s="299"/>
      <c r="H82" s="445"/>
      <c r="I82" s="26"/>
      <c r="J82" s="445"/>
      <c r="K82" s="487"/>
      <c r="L82" s="445"/>
      <c r="M82" s="487"/>
      <c r="N82" s="445"/>
      <c r="O82" s="487"/>
    </row>
    <row r="83" spans="1:15" ht="13.5">
      <c r="A83" s="483"/>
      <c r="B83" s="485" t="s">
        <v>706</v>
      </c>
      <c r="C83" s="324"/>
      <c r="D83" s="486"/>
      <c r="E83" s="299"/>
      <c r="F83" s="27"/>
      <c r="G83" s="299"/>
      <c r="H83" s="445"/>
      <c r="I83" s="26"/>
      <c r="J83" s="445"/>
      <c r="K83" s="316"/>
      <c r="L83" s="445"/>
      <c r="M83" s="316"/>
      <c r="N83" s="445"/>
      <c r="O83" s="316"/>
    </row>
    <row r="84" spans="1:15" ht="13.5">
      <c r="A84" s="483"/>
      <c r="B84" s="485" t="s">
        <v>693</v>
      </c>
      <c r="C84" s="324" t="s">
        <v>148</v>
      </c>
      <c r="D84" s="486"/>
      <c r="E84" s="299"/>
      <c r="F84" s="27"/>
      <c r="G84" s="299"/>
      <c r="H84" s="445"/>
      <c r="I84" s="26"/>
      <c r="J84" s="445"/>
      <c r="K84" s="316"/>
      <c r="L84" s="445"/>
      <c r="M84" s="316"/>
      <c r="N84" s="445"/>
      <c r="O84" s="316"/>
    </row>
    <row r="85" spans="1:15" ht="13.5">
      <c r="A85" s="483"/>
      <c r="B85" s="485" t="s">
        <v>1104</v>
      </c>
      <c r="C85" s="324"/>
      <c r="D85" s="483"/>
      <c r="E85" s="299">
        <v>0</v>
      </c>
      <c r="F85" s="27"/>
      <c r="G85" s="299">
        <v>0</v>
      </c>
      <c r="H85" s="445"/>
      <c r="I85" s="26">
        <f>K85-G85</f>
        <v>200000</v>
      </c>
      <c r="J85" s="445"/>
      <c r="K85" s="26">
        <v>200000</v>
      </c>
      <c r="L85" s="445"/>
      <c r="M85" s="316">
        <v>200000</v>
      </c>
      <c r="N85" s="445"/>
      <c r="O85" s="316">
        <f>M85-K85</f>
        <v>0</v>
      </c>
    </row>
    <row r="86" spans="1:15" ht="13.5">
      <c r="A86" s="458"/>
      <c r="B86" s="488" t="s">
        <v>619</v>
      </c>
      <c r="C86" s="324"/>
      <c r="D86" s="458"/>
      <c r="E86" s="299"/>
      <c r="F86" s="27"/>
      <c r="G86" s="299"/>
      <c r="H86" s="445"/>
      <c r="I86" s="26"/>
      <c r="J86" s="445"/>
      <c r="K86" s="26"/>
      <c r="L86" s="445"/>
      <c r="M86" s="26"/>
      <c r="N86" s="445"/>
      <c r="O86" s="26"/>
    </row>
    <row r="87" spans="1:15" ht="13.5">
      <c r="A87" s="458"/>
      <c r="B87" s="488" t="s">
        <v>618</v>
      </c>
      <c r="C87" s="324"/>
      <c r="D87" s="458"/>
      <c r="E87" s="299"/>
      <c r="F87" s="27"/>
      <c r="G87" s="299"/>
      <c r="H87" s="445"/>
      <c r="I87" s="26"/>
      <c r="J87" s="445"/>
      <c r="K87" s="26"/>
      <c r="L87" s="445"/>
      <c r="M87" s="26"/>
      <c r="N87" s="445"/>
      <c r="O87" s="26"/>
    </row>
    <row r="88" spans="1:15" ht="13.5">
      <c r="A88" s="458"/>
      <c r="B88" s="484" t="s">
        <v>595</v>
      </c>
      <c r="C88" s="324"/>
      <c r="D88" s="319"/>
      <c r="E88" s="299"/>
      <c r="F88" s="27"/>
      <c r="G88" s="299"/>
      <c r="H88" s="445"/>
      <c r="I88" s="26"/>
      <c r="J88" s="445"/>
      <c r="K88" s="320"/>
      <c r="L88" s="445"/>
      <c r="M88" s="320"/>
      <c r="N88" s="445"/>
      <c r="O88" s="320"/>
    </row>
    <row r="89" spans="1:15" ht="13.5">
      <c r="A89" s="458"/>
      <c r="B89" s="318" t="s">
        <v>713</v>
      </c>
      <c r="C89" s="324" t="s">
        <v>126</v>
      </c>
      <c r="D89" s="319"/>
      <c r="E89" s="299">
        <v>19971</v>
      </c>
      <c r="F89" s="27"/>
      <c r="G89" s="299">
        <v>6935</v>
      </c>
      <c r="H89" s="445"/>
      <c r="I89" s="26">
        <f t="shared" ref="I89:I97" si="16">K89-G89</f>
        <v>63065</v>
      </c>
      <c r="J89" s="445"/>
      <c r="K89" s="320">
        <v>70000</v>
      </c>
      <c r="L89" s="445"/>
      <c r="M89" s="316">
        <v>70000</v>
      </c>
      <c r="N89" s="445"/>
      <c r="O89" s="316">
        <f t="shared" ref="O89:O97" si="17">M89-K89</f>
        <v>0</v>
      </c>
    </row>
    <row r="90" spans="1:15" ht="13.5">
      <c r="A90" s="458"/>
      <c r="B90" s="318" t="s">
        <v>626</v>
      </c>
      <c r="C90" s="324" t="s">
        <v>127</v>
      </c>
      <c r="D90" s="319"/>
      <c r="E90" s="299">
        <v>0</v>
      </c>
      <c r="F90" s="27"/>
      <c r="G90" s="299">
        <v>0</v>
      </c>
      <c r="H90" s="445"/>
      <c r="I90" s="26">
        <f>K90-G90</f>
        <v>80000</v>
      </c>
      <c r="J90" s="445"/>
      <c r="K90" s="320">
        <v>80000</v>
      </c>
      <c r="L90" s="445"/>
      <c r="M90" s="316">
        <v>80000</v>
      </c>
      <c r="N90" s="445"/>
      <c r="O90" s="316">
        <f t="shared" si="17"/>
        <v>0</v>
      </c>
    </row>
    <row r="91" spans="1:15" ht="13.5">
      <c r="A91" s="458"/>
      <c r="B91" s="318" t="s">
        <v>726</v>
      </c>
      <c r="C91" s="324" t="s">
        <v>128</v>
      </c>
      <c r="D91" s="319"/>
      <c r="E91" s="299">
        <v>21034</v>
      </c>
      <c r="F91" s="27"/>
      <c r="G91" s="299">
        <v>0</v>
      </c>
      <c r="H91" s="445"/>
      <c r="I91" s="26">
        <f t="shared" si="16"/>
        <v>70000</v>
      </c>
      <c r="J91" s="445"/>
      <c r="K91" s="320">
        <v>70000</v>
      </c>
      <c r="L91" s="445"/>
      <c r="M91" s="316">
        <v>70000</v>
      </c>
      <c r="N91" s="445"/>
      <c r="O91" s="316">
        <f t="shared" si="17"/>
        <v>0</v>
      </c>
    </row>
    <row r="92" spans="1:15" ht="13.5">
      <c r="A92" s="458"/>
      <c r="B92" s="318" t="s">
        <v>727</v>
      </c>
      <c r="C92" s="324" t="s">
        <v>129</v>
      </c>
      <c r="D92" s="319"/>
      <c r="E92" s="299">
        <v>1608.6</v>
      </c>
      <c r="F92" s="27"/>
      <c r="G92" s="299">
        <v>0</v>
      </c>
      <c r="H92" s="445"/>
      <c r="I92" s="26">
        <f t="shared" si="16"/>
        <v>10000</v>
      </c>
      <c r="J92" s="445"/>
      <c r="K92" s="320">
        <v>10000</v>
      </c>
      <c r="L92" s="445"/>
      <c r="M92" s="316">
        <v>10000</v>
      </c>
      <c r="N92" s="445"/>
      <c r="O92" s="316">
        <f t="shared" si="17"/>
        <v>0</v>
      </c>
    </row>
    <row r="93" spans="1:15" ht="13.5">
      <c r="A93" s="458"/>
      <c r="B93" s="318" t="s">
        <v>728</v>
      </c>
      <c r="C93" s="324" t="s">
        <v>174</v>
      </c>
      <c r="D93" s="319"/>
      <c r="E93" s="299">
        <v>14885</v>
      </c>
      <c r="F93" s="27"/>
      <c r="G93" s="299">
        <v>0</v>
      </c>
      <c r="H93" s="445"/>
      <c r="I93" s="26">
        <f>K93-G93</f>
        <v>30000</v>
      </c>
      <c r="J93" s="445"/>
      <c r="K93" s="320">
        <f>30000</f>
        <v>30000</v>
      </c>
      <c r="L93" s="445"/>
      <c r="M93" s="316">
        <v>30000</v>
      </c>
      <c r="N93" s="445"/>
      <c r="O93" s="316">
        <f t="shared" si="17"/>
        <v>0</v>
      </c>
    </row>
    <row r="94" spans="1:15" ht="13.5">
      <c r="A94" s="458"/>
      <c r="B94" s="318" t="s">
        <v>627</v>
      </c>
      <c r="C94" s="443" t="s">
        <v>137</v>
      </c>
      <c r="D94" s="319"/>
      <c r="E94" s="299">
        <v>10125</v>
      </c>
      <c r="F94" s="27"/>
      <c r="G94" s="299">
        <v>0</v>
      </c>
      <c r="H94" s="445"/>
      <c r="I94" s="26">
        <f>K94-G94</f>
        <v>15000</v>
      </c>
      <c r="J94" s="445"/>
      <c r="K94" s="320">
        <v>15000</v>
      </c>
      <c r="L94" s="445"/>
      <c r="M94" s="316">
        <v>15000</v>
      </c>
      <c r="N94" s="445"/>
      <c r="O94" s="316">
        <f>M94-K94</f>
        <v>0</v>
      </c>
    </row>
    <row r="95" spans="1:15" ht="13.5">
      <c r="A95" s="458"/>
      <c r="B95" s="318" t="s">
        <v>800</v>
      </c>
      <c r="C95" s="443" t="s">
        <v>134</v>
      </c>
      <c r="D95" s="319"/>
      <c r="E95" s="299">
        <v>11890.3</v>
      </c>
      <c r="F95" s="27"/>
      <c r="G95" s="299">
        <v>6785.47</v>
      </c>
      <c r="H95" s="445"/>
      <c r="I95" s="26">
        <f t="shared" si="16"/>
        <v>29214.53</v>
      </c>
      <c r="J95" s="445"/>
      <c r="K95" s="320">
        <v>36000</v>
      </c>
      <c r="L95" s="445"/>
      <c r="M95" s="316">
        <v>36000</v>
      </c>
      <c r="N95" s="445"/>
      <c r="O95" s="316">
        <f t="shared" si="17"/>
        <v>0</v>
      </c>
    </row>
    <row r="96" spans="1:15" ht="13.5">
      <c r="A96" s="458"/>
      <c r="B96" s="318" t="s">
        <v>801</v>
      </c>
      <c r="C96" s="443" t="s">
        <v>557</v>
      </c>
      <c r="D96" s="319"/>
      <c r="E96" s="299">
        <v>0</v>
      </c>
      <c r="F96" s="27"/>
      <c r="G96" s="299">
        <v>0</v>
      </c>
      <c r="H96" s="445"/>
      <c r="I96" s="26">
        <f t="shared" si="16"/>
        <v>25000</v>
      </c>
      <c r="J96" s="445"/>
      <c r="K96" s="320">
        <v>25000</v>
      </c>
      <c r="L96" s="445"/>
      <c r="M96" s="316">
        <v>25000</v>
      </c>
      <c r="N96" s="445"/>
      <c r="O96" s="316">
        <f t="shared" si="17"/>
        <v>0</v>
      </c>
    </row>
    <row r="97" spans="1:15" ht="13.5">
      <c r="A97" s="458"/>
      <c r="B97" s="318" t="s">
        <v>629</v>
      </c>
      <c r="C97" s="324" t="s">
        <v>141</v>
      </c>
      <c r="D97" s="319"/>
      <c r="E97" s="299">
        <v>0</v>
      </c>
      <c r="F97" s="27"/>
      <c r="G97" s="299">
        <v>0</v>
      </c>
      <c r="H97" s="445"/>
      <c r="I97" s="26">
        <f t="shared" si="16"/>
        <v>5000</v>
      </c>
      <c r="J97" s="445"/>
      <c r="K97" s="320">
        <v>5000</v>
      </c>
      <c r="L97" s="445"/>
      <c r="M97" s="316">
        <v>5000</v>
      </c>
      <c r="N97" s="445"/>
      <c r="O97" s="316">
        <f t="shared" si="17"/>
        <v>0</v>
      </c>
    </row>
    <row r="98" spans="1:15" ht="13.5">
      <c r="A98" s="458"/>
      <c r="B98" s="318" t="s">
        <v>630</v>
      </c>
      <c r="C98" s="324" t="s">
        <v>148</v>
      </c>
      <c r="D98" s="319"/>
      <c r="E98" s="299"/>
      <c r="F98" s="27"/>
      <c r="G98" s="299"/>
      <c r="H98" s="445"/>
      <c r="I98" s="26"/>
      <c r="J98" s="445"/>
      <c r="K98" s="320"/>
      <c r="L98" s="445"/>
      <c r="M98" s="320"/>
      <c r="N98" s="445"/>
      <c r="O98" s="320"/>
    </row>
    <row r="99" spans="1:15" ht="13.5">
      <c r="A99" s="458"/>
      <c r="B99" s="318" t="s">
        <v>802</v>
      </c>
      <c r="C99" s="324"/>
      <c r="D99" s="319"/>
      <c r="E99" s="299">
        <v>233400</v>
      </c>
      <c r="F99" s="27"/>
      <c r="G99" s="299">
        <v>0</v>
      </c>
      <c r="H99" s="445"/>
      <c r="I99" s="26">
        <f t="shared" ref="I99:I102" si="18">K99-G99</f>
        <v>235000</v>
      </c>
      <c r="J99" s="445"/>
      <c r="K99" s="320">
        <v>235000</v>
      </c>
      <c r="L99" s="445"/>
      <c r="M99" s="316">
        <v>235000</v>
      </c>
      <c r="N99" s="445"/>
      <c r="O99" s="316">
        <f t="shared" ref="O99:O102" si="19">M99-K99</f>
        <v>0</v>
      </c>
    </row>
    <row r="100" spans="1:15" ht="13.5">
      <c r="A100" s="458"/>
      <c r="B100" s="318" t="s">
        <v>803</v>
      </c>
      <c r="C100" s="324"/>
      <c r="D100" s="319"/>
      <c r="E100" s="299">
        <v>128800</v>
      </c>
      <c r="F100" s="27"/>
      <c r="G100" s="299">
        <v>69900</v>
      </c>
      <c r="H100" s="445"/>
      <c r="I100" s="26">
        <f t="shared" si="18"/>
        <v>110100</v>
      </c>
      <c r="J100" s="445"/>
      <c r="K100" s="320">
        <v>180000</v>
      </c>
      <c r="L100" s="445"/>
      <c r="M100" s="316">
        <v>180000</v>
      </c>
      <c r="N100" s="445"/>
      <c r="O100" s="316">
        <f t="shared" si="19"/>
        <v>0</v>
      </c>
    </row>
    <row r="101" spans="1:15" ht="13.5">
      <c r="A101" s="458"/>
      <c r="B101" s="318" t="s">
        <v>804</v>
      </c>
      <c r="C101" s="324"/>
      <c r="D101" s="319"/>
      <c r="E101" s="299">
        <v>12360</v>
      </c>
      <c r="F101" s="27"/>
      <c r="G101" s="299">
        <v>0</v>
      </c>
      <c r="H101" s="445"/>
      <c r="I101" s="26">
        <f t="shared" si="18"/>
        <v>122000</v>
      </c>
      <c r="J101" s="445"/>
      <c r="K101" s="320">
        <v>122000</v>
      </c>
      <c r="L101" s="445"/>
      <c r="M101" s="316">
        <v>122000</v>
      </c>
      <c r="N101" s="445"/>
      <c r="O101" s="316">
        <f t="shared" si="19"/>
        <v>0</v>
      </c>
    </row>
    <row r="102" spans="1:15" ht="13.5">
      <c r="A102" s="458"/>
      <c r="B102" s="318" t="s">
        <v>805</v>
      </c>
      <c r="C102" s="324"/>
      <c r="D102" s="319"/>
      <c r="E102" s="299">
        <v>0</v>
      </c>
      <c r="F102" s="27"/>
      <c r="G102" s="299">
        <v>0</v>
      </c>
      <c r="H102" s="445"/>
      <c r="I102" s="26">
        <f t="shared" si="18"/>
        <v>15000</v>
      </c>
      <c r="J102" s="445"/>
      <c r="K102" s="320">
        <v>15000</v>
      </c>
      <c r="L102" s="445"/>
      <c r="M102" s="316">
        <v>15000</v>
      </c>
      <c r="N102" s="445"/>
      <c r="O102" s="316">
        <f t="shared" si="19"/>
        <v>0</v>
      </c>
    </row>
    <row r="103" spans="1:15" ht="13.5">
      <c r="A103" s="483"/>
      <c r="B103" s="484" t="s">
        <v>698</v>
      </c>
      <c r="C103" s="324"/>
      <c r="D103" s="483"/>
      <c r="E103" s="299"/>
      <c r="F103" s="27"/>
      <c r="G103" s="299"/>
      <c r="H103" s="445"/>
      <c r="I103" s="26"/>
      <c r="J103" s="445"/>
      <c r="K103" s="26"/>
      <c r="L103" s="445"/>
      <c r="M103" s="26"/>
      <c r="N103" s="445"/>
      <c r="O103" s="26"/>
    </row>
    <row r="104" spans="1:15" ht="13.5">
      <c r="A104" s="890"/>
      <c r="B104" s="892" t="s">
        <v>806</v>
      </c>
      <c r="C104" s="457" t="s">
        <v>151</v>
      </c>
      <c r="D104" s="890"/>
      <c r="E104" s="302"/>
      <c r="F104" s="60"/>
      <c r="G104" s="302"/>
      <c r="H104" s="450"/>
      <c r="I104" s="31"/>
      <c r="J104" s="450"/>
      <c r="K104" s="31"/>
      <c r="L104" s="450"/>
      <c r="M104" s="31"/>
      <c r="N104" s="445"/>
      <c r="O104" s="26"/>
    </row>
    <row r="105" spans="1:15" ht="13.5">
      <c r="A105" s="483"/>
      <c r="B105" s="484" t="s">
        <v>807</v>
      </c>
      <c r="C105" s="324"/>
      <c r="D105" s="483"/>
      <c r="E105" s="299">
        <v>0</v>
      </c>
      <c r="F105" s="27"/>
      <c r="G105" s="299">
        <v>0</v>
      </c>
      <c r="H105" s="445"/>
      <c r="I105" s="26">
        <f>K105-G105</f>
        <v>40000</v>
      </c>
      <c r="J105" s="445"/>
      <c r="K105" s="26">
        <v>40000</v>
      </c>
      <c r="L105" s="445"/>
      <c r="M105" s="316">
        <v>0</v>
      </c>
      <c r="N105" s="445"/>
      <c r="O105" s="316">
        <f>M105-K105</f>
        <v>-40000</v>
      </c>
    </row>
    <row r="106" spans="1:15" ht="13.5">
      <c r="A106" s="458"/>
      <c r="B106" s="484" t="s">
        <v>574</v>
      </c>
      <c r="C106" s="324"/>
      <c r="D106" s="458"/>
      <c r="E106" s="299"/>
      <c r="F106" s="27"/>
      <c r="G106" s="299"/>
      <c r="H106" s="445"/>
      <c r="I106" s="26"/>
      <c r="J106" s="445"/>
      <c r="K106" s="26"/>
      <c r="L106" s="445"/>
      <c r="M106" s="26"/>
      <c r="N106" s="445"/>
      <c r="O106" s="26"/>
    </row>
    <row r="107" spans="1:15" ht="13.5">
      <c r="A107" s="458"/>
      <c r="B107" s="485" t="s">
        <v>575</v>
      </c>
      <c r="C107" s="324"/>
      <c r="D107" s="458"/>
      <c r="E107" s="299"/>
      <c r="F107" s="27"/>
      <c r="G107" s="299"/>
      <c r="H107" s="445"/>
      <c r="I107" s="26"/>
      <c r="J107" s="445"/>
      <c r="K107" s="316"/>
      <c r="L107" s="445"/>
      <c r="M107" s="316"/>
      <c r="N107" s="445"/>
      <c r="O107" s="316"/>
    </row>
    <row r="108" spans="1:15" ht="13.5">
      <c r="A108" s="458"/>
      <c r="B108" s="485" t="s">
        <v>578</v>
      </c>
      <c r="C108" s="324"/>
      <c r="D108" s="458"/>
      <c r="E108" s="299"/>
      <c r="F108" s="27"/>
      <c r="G108" s="299"/>
      <c r="H108" s="445"/>
      <c r="I108" s="26"/>
      <c r="J108" s="445"/>
      <c r="K108" s="316"/>
      <c r="L108" s="445"/>
      <c r="M108" s="316"/>
      <c r="N108" s="445"/>
      <c r="O108" s="316"/>
    </row>
    <row r="109" spans="1:15" ht="13.5">
      <c r="A109" s="458"/>
      <c r="B109" s="485" t="s">
        <v>700</v>
      </c>
      <c r="C109" s="324" t="s">
        <v>126</v>
      </c>
      <c r="D109" s="458"/>
      <c r="E109" s="299">
        <v>5901</v>
      </c>
      <c r="F109" s="27"/>
      <c r="G109" s="299">
        <v>19800</v>
      </c>
      <c r="H109" s="445"/>
      <c r="I109" s="26">
        <f>K109-G109</f>
        <v>30200</v>
      </c>
      <c r="J109" s="445"/>
      <c r="K109" s="316">
        <v>50000</v>
      </c>
      <c r="L109" s="445"/>
      <c r="M109" s="316">
        <v>50000</v>
      </c>
      <c r="N109" s="445"/>
      <c r="O109" s="316">
        <f t="shared" ref="O109:O117" si="20">M109-K109</f>
        <v>0</v>
      </c>
    </row>
    <row r="110" spans="1:15" ht="13.5">
      <c r="A110" s="458"/>
      <c r="B110" s="485" t="s">
        <v>701</v>
      </c>
      <c r="C110" s="324" t="s">
        <v>127</v>
      </c>
      <c r="D110" s="458"/>
      <c r="E110" s="299">
        <v>43069</v>
      </c>
      <c r="F110" s="27"/>
      <c r="G110" s="299">
        <v>26200</v>
      </c>
      <c r="H110" s="445"/>
      <c r="I110" s="26">
        <f>K110-G110</f>
        <v>73800</v>
      </c>
      <c r="J110" s="445"/>
      <c r="K110" s="316">
        <v>100000</v>
      </c>
      <c r="L110" s="445"/>
      <c r="M110" s="316">
        <v>100000</v>
      </c>
      <c r="N110" s="445"/>
      <c r="O110" s="316">
        <f t="shared" si="20"/>
        <v>0</v>
      </c>
    </row>
    <row r="111" spans="1:15" ht="13.5">
      <c r="A111" s="458"/>
      <c r="B111" s="485" t="s">
        <v>699</v>
      </c>
      <c r="C111" s="324" t="s">
        <v>128</v>
      </c>
      <c r="D111" s="458"/>
      <c r="E111" s="299">
        <v>19771</v>
      </c>
      <c r="F111" s="27"/>
      <c r="G111" s="299">
        <v>12678</v>
      </c>
      <c r="H111" s="445"/>
      <c r="I111" s="26">
        <f>K111-G111</f>
        <v>17322</v>
      </c>
      <c r="J111" s="445"/>
      <c r="K111" s="316">
        <v>30000</v>
      </c>
      <c r="L111" s="445"/>
      <c r="M111" s="316">
        <v>30000</v>
      </c>
      <c r="N111" s="445"/>
      <c r="O111" s="316">
        <f t="shared" si="20"/>
        <v>0</v>
      </c>
    </row>
    <row r="112" spans="1:15" ht="13.5">
      <c r="A112" s="458"/>
      <c r="B112" s="485" t="s">
        <v>702</v>
      </c>
      <c r="C112" s="324" t="s">
        <v>129</v>
      </c>
      <c r="D112" s="458"/>
      <c r="E112" s="299">
        <v>5041.2</v>
      </c>
      <c r="F112" s="27"/>
      <c r="G112" s="299">
        <v>10307.17</v>
      </c>
      <c r="H112" s="445"/>
      <c r="I112" s="26">
        <f>K112-G112</f>
        <v>44692.83</v>
      </c>
      <c r="J112" s="445"/>
      <c r="K112" s="316">
        <v>55000</v>
      </c>
      <c r="L112" s="445"/>
      <c r="M112" s="316">
        <v>55000</v>
      </c>
      <c r="N112" s="445"/>
      <c r="O112" s="316">
        <f t="shared" si="20"/>
        <v>0</v>
      </c>
    </row>
    <row r="113" spans="1:17" ht="13.5">
      <c r="A113" s="458"/>
      <c r="B113" s="485" t="s">
        <v>592</v>
      </c>
      <c r="C113" s="324" t="s">
        <v>174</v>
      </c>
      <c r="D113" s="458"/>
      <c r="E113" s="299">
        <v>29941.4</v>
      </c>
      <c r="F113" s="27"/>
      <c r="G113" s="299">
        <v>37459</v>
      </c>
      <c r="H113" s="445"/>
      <c r="I113" s="26">
        <f t="shared" ref="I113:I116" si="21">K113-G113</f>
        <v>62541</v>
      </c>
      <c r="J113" s="445"/>
      <c r="K113" s="316">
        <v>100000</v>
      </c>
      <c r="L113" s="445"/>
      <c r="M113" s="316">
        <v>100000</v>
      </c>
      <c r="N113" s="445"/>
      <c r="O113" s="316">
        <f t="shared" si="20"/>
        <v>0</v>
      </c>
    </row>
    <row r="114" spans="1:17" ht="13.5">
      <c r="A114" s="458"/>
      <c r="B114" s="318" t="s">
        <v>800</v>
      </c>
      <c r="C114" s="443" t="s">
        <v>134</v>
      </c>
      <c r="D114" s="319"/>
      <c r="E114" s="299">
        <v>0</v>
      </c>
      <c r="F114" s="27"/>
      <c r="G114" s="299">
        <v>8396</v>
      </c>
      <c r="H114" s="445"/>
      <c r="I114" s="26">
        <f t="shared" si="21"/>
        <v>27604</v>
      </c>
      <c r="J114" s="445"/>
      <c r="K114" s="320">
        <v>36000</v>
      </c>
      <c r="L114" s="445"/>
      <c r="M114" s="316">
        <v>36000</v>
      </c>
      <c r="N114" s="445"/>
      <c r="O114" s="316">
        <f t="shared" si="20"/>
        <v>0</v>
      </c>
    </row>
    <row r="115" spans="1:17" ht="13.5">
      <c r="A115" s="458"/>
      <c r="B115" s="485" t="s">
        <v>808</v>
      </c>
      <c r="C115" s="324" t="s">
        <v>137</v>
      </c>
      <c r="D115" s="458"/>
      <c r="E115" s="299">
        <v>6750</v>
      </c>
      <c r="F115" s="27"/>
      <c r="G115" s="299">
        <v>3020</v>
      </c>
      <c r="H115" s="445"/>
      <c r="I115" s="26">
        <f t="shared" si="21"/>
        <v>6980</v>
      </c>
      <c r="J115" s="445"/>
      <c r="K115" s="316">
        <v>10000</v>
      </c>
      <c r="L115" s="445"/>
      <c r="M115" s="316">
        <v>10000</v>
      </c>
      <c r="N115" s="445"/>
      <c r="O115" s="316">
        <f t="shared" si="20"/>
        <v>0</v>
      </c>
    </row>
    <row r="116" spans="1:17" ht="13.5">
      <c r="A116" s="458"/>
      <c r="B116" s="485" t="s">
        <v>809</v>
      </c>
      <c r="C116" s="324" t="s">
        <v>557</v>
      </c>
      <c r="D116" s="458"/>
      <c r="E116" s="299">
        <v>0</v>
      </c>
      <c r="F116" s="27"/>
      <c r="G116" s="299">
        <v>0</v>
      </c>
      <c r="H116" s="445"/>
      <c r="I116" s="26">
        <f t="shared" si="21"/>
        <v>20000</v>
      </c>
      <c r="J116" s="445"/>
      <c r="K116" s="316">
        <v>20000</v>
      </c>
      <c r="L116" s="445"/>
      <c r="M116" s="316">
        <v>20000</v>
      </c>
      <c r="N116" s="445"/>
      <c r="O116" s="316">
        <f t="shared" si="20"/>
        <v>0</v>
      </c>
    </row>
    <row r="117" spans="1:17" ht="13.5">
      <c r="A117" s="458"/>
      <c r="B117" s="485" t="s">
        <v>703</v>
      </c>
      <c r="C117" s="324" t="s">
        <v>141</v>
      </c>
      <c r="D117" s="458"/>
      <c r="E117" s="299">
        <v>11155</v>
      </c>
      <c r="F117" s="27"/>
      <c r="G117" s="299">
        <v>0</v>
      </c>
      <c r="H117" s="445"/>
      <c r="I117" s="26">
        <f>K117-G117</f>
        <v>50000</v>
      </c>
      <c r="J117" s="445"/>
      <c r="K117" s="316">
        <v>50000</v>
      </c>
      <c r="L117" s="445"/>
      <c r="M117" s="316">
        <v>50000</v>
      </c>
      <c r="N117" s="445"/>
      <c r="O117" s="316">
        <f t="shared" si="20"/>
        <v>0</v>
      </c>
    </row>
    <row r="118" spans="1:17" ht="13.5">
      <c r="A118" s="458"/>
      <c r="B118" s="485" t="s">
        <v>693</v>
      </c>
      <c r="C118" s="324" t="s">
        <v>148</v>
      </c>
      <c r="D118" s="458"/>
      <c r="E118" s="299"/>
      <c r="F118" s="27"/>
      <c r="G118" s="299"/>
      <c r="H118" s="445"/>
      <c r="I118" s="26"/>
      <c r="J118" s="445"/>
      <c r="K118" s="316"/>
      <c r="L118" s="445"/>
      <c r="M118" s="316"/>
      <c r="N118" s="445"/>
      <c r="O118" s="316"/>
    </row>
    <row r="119" spans="1:17" ht="13.5">
      <c r="A119" s="458"/>
      <c r="B119" s="485" t="s">
        <v>694</v>
      </c>
      <c r="C119" s="324"/>
      <c r="D119" s="458"/>
      <c r="E119" s="299">
        <v>240000</v>
      </c>
      <c r="F119" s="27"/>
      <c r="G119" s="299">
        <v>118000</v>
      </c>
      <c r="H119" s="445"/>
      <c r="I119" s="26">
        <f t="shared" ref="I119:I124" si="22">K119-G119</f>
        <v>842000</v>
      </c>
      <c r="J119" s="445"/>
      <c r="K119" s="316">
        <v>960000</v>
      </c>
      <c r="L119" s="445"/>
      <c r="M119" s="316">
        <v>960000</v>
      </c>
      <c r="N119" s="445"/>
      <c r="O119" s="316">
        <f t="shared" ref="O119:O124" si="23">M119-K119</f>
        <v>0</v>
      </c>
    </row>
    <row r="120" spans="1:17" ht="13.5">
      <c r="A120" s="458"/>
      <c r="B120" s="485" t="s">
        <v>704</v>
      </c>
      <c r="C120" s="324"/>
      <c r="D120" s="458"/>
      <c r="E120" s="299">
        <v>271270.65000000002</v>
      </c>
      <c r="F120" s="27"/>
      <c r="G120" s="299">
        <v>154029.74</v>
      </c>
      <c r="H120" s="445"/>
      <c r="I120" s="26">
        <f t="shared" si="22"/>
        <v>552970.26</v>
      </c>
      <c r="J120" s="445"/>
      <c r="K120" s="317">
        <v>707000</v>
      </c>
      <c r="L120" s="445"/>
      <c r="M120" s="316">
        <v>707000</v>
      </c>
      <c r="N120" s="445"/>
      <c r="O120" s="316">
        <f t="shared" si="23"/>
        <v>0</v>
      </c>
    </row>
    <row r="121" spans="1:17" ht="13.5">
      <c r="A121" s="458"/>
      <c r="B121" s="485" t="s">
        <v>810</v>
      </c>
      <c r="C121" s="324"/>
      <c r="D121" s="458"/>
      <c r="E121" s="299">
        <v>101250</v>
      </c>
      <c r="F121" s="27"/>
      <c r="G121" s="299">
        <v>67500</v>
      </c>
      <c r="H121" s="445"/>
      <c r="I121" s="26">
        <f t="shared" si="22"/>
        <v>82500</v>
      </c>
      <c r="J121" s="445"/>
      <c r="K121" s="317">
        <v>150000</v>
      </c>
      <c r="L121" s="445"/>
      <c r="M121" s="316">
        <v>150000</v>
      </c>
      <c r="N121" s="445"/>
      <c r="O121" s="316">
        <f t="shared" si="23"/>
        <v>0</v>
      </c>
    </row>
    <row r="122" spans="1:17" ht="13.5">
      <c r="A122" s="458"/>
      <c r="B122" s="485" t="s">
        <v>811</v>
      </c>
      <c r="C122" s="324"/>
      <c r="D122" s="458"/>
      <c r="E122" s="299">
        <v>16875</v>
      </c>
      <c r="F122" s="27"/>
      <c r="G122" s="299">
        <v>0</v>
      </c>
      <c r="H122" s="445"/>
      <c r="I122" s="26">
        <f t="shared" si="22"/>
        <v>25000</v>
      </c>
      <c r="J122" s="445"/>
      <c r="K122" s="317">
        <v>25000</v>
      </c>
      <c r="L122" s="445"/>
      <c r="M122" s="316">
        <v>25000</v>
      </c>
      <c r="N122" s="445"/>
      <c r="O122" s="316">
        <f t="shared" si="23"/>
        <v>0</v>
      </c>
    </row>
    <row r="123" spans="1:17" ht="13.5">
      <c r="A123" s="458"/>
      <c r="B123" s="485" t="s">
        <v>1105</v>
      </c>
      <c r="C123" s="324"/>
      <c r="D123" s="458"/>
      <c r="E123" s="299">
        <v>0</v>
      </c>
      <c r="F123" s="27"/>
      <c r="G123" s="299">
        <v>0</v>
      </c>
      <c r="H123" s="445"/>
      <c r="I123" s="26">
        <f t="shared" si="22"/>
        <v>200000</v>
      </c>
      <c r="J123" s="445"/>
      <c r="K123" s="317">
        <v>200000</v>
      </c>
      <c r="L123" s="445"/>
      <c r="M123" s="316">
        <v>200000</v>
      </c>
      <c r="N123" s="445"/>
      <c r="O123" s="316">
        <f t="shared" si="23"/>
        <v>0</v>
      </c>
    </row>
    <row r="124" spans="1:17" ht="13.5">
      <c r="A124" s="458"/>
      <c r="B124" s="485" t="s">
        <v>1104</v>
      </c>
      <c r="C124" s="324"/>
      <c r="D124" s="458"/>
      <c r="E124" s="299">
        <v>0</v>
      </c>
      <c r="F124" s="27"/>
      <c r="G124" s="299">
        <v>0</v>
      </c>
      <c r="H124" s="445"/>
      <c r="I124" s="26">
        <f t="shared" si="22"/>
        <v>200000</v>
      </c>
      <c r="J124" s="445"/>
      <c r="K124" s="317">
        <v>200000</v>
      </c>
      <c r="L124" s="445"/>
      <c r="M124" s="316">
        <v>200000</v>
      </c>
      <c r="N124" s="445"/>
      <c r="O124" s="316">
        <f t="shared" si="23"/>
        <v>0</v>
      </c>
    </row>
    <row r="125" spans="1:17" s="474" customFormat="1" ht="13.5">
      <c r="A125" s="458"/>
      <c r="B125" s="485" t="s">
        <v>682</v>
      </c>
      <c r="C125" s="490"/>
      <c r="D125" s="458"/>
      <c r="E125" s="299"/>
      <c r="F125" s="27"/>
      <c r="G125" s="299"/>
      <c r="H125" s="445"/>
      <c r="I125" s="26"/>
      <c r="J125" s="445"/>
      <c r="K125" s="314"/>
      <c r="L125" s="445"/>
      <c r="M125" s="314"/>
      <c r="N125" s="445"/>
      <c r="O125" s="314"/>
      <c r="P125" s="933"/>
      <c r="Q125" s="933"/>
    </row>
    <row r="126" spans="1:17" ht="13.5">
      <c r="A126" s="458"/>
      <c r="B126" s="485" t="s">
        <v>1106</v>
      </c>
      <c r="C126" s="490" t="s">
        <v>149</v>
      </c>
      <c r="D126" s="458"/>
      <c r="E126" s="299"/>
      <c r="F126" s="27"/>
      <c r="G126" s="299"/>
      <c r="H126" s="445"/>
      <c r="I126" s="26"/>
      <c r="J126" s="445"/>
      <c r="K126" s="314"/>
      <c r="L126" s="445"/>
      <c r="M126" s="314"/>
      <c r="N126" s="445"/>
      <c r="O126" s="314"/>
    </row>
    <row r="127" spans="1:17" ht="13.5">
      <c r="A127" s="458"/>
      <c r="B127" s="485" t="s">
        <v>1107</v>
      </c>
      <c r="C127" s="490"/>
      <c r="D127" s="458"/>
      <c r="E127" s="299">
        <v>0</v>
      </c>
      <c r="F127" s="27"/>
      <c r="G127" s="299">
        <v>0</v>
      </c>
      <c r="H127" s="445"/>
      <c r="I127" s="26">
        <f>K127-G127</f>
        <v>40000</v>
      </c>
      <c r="J127" s="445"/>
      <c r="K127" s="314">
        <v>40000</v>
      </c>
      <c r="L127" s="445"/>
      <c r="M127" s="316">
        <v>0</v>
      </c>
      <c r="N127" s="445"/>
      <c r="O127" s="316">
        <f>M127-K127</f>
        <v>-40000</v>
      </c>
    </row>
    <row r="128" spans="1:17" ht="13.5">
      <c r="A128" s="458"/>
      <c r="B128" s="485" t="s">
        <v>687</v>
      </c>
      <c r="C128" s="490" t="s">
        <v>151</v>
      </c>
      <c r="D128" s="458"/>
      <c r="E128" s="299"/>
      <c r="F128" s="27"/>
      <c r="G128" s="299"/>
      <c r="H128" s="445"/>
      <c r="I128" s="26"/>
      <c r="J128" s="445"/>
      <c r="K128" s="314"/>
      <c r="L128" s="445"/>
      <c r="M128" s="314"/>
      <c r="N128" s="445"/>
      <c r="O128" s="314"/>
    </row>
    <row r="129" spans="1:15" ht="13.5">
      <c r="A129" s="458"/>
      <c r="B129" s="485" t="s">
        <v>981</v>
      </c>
      <c r="C129" s="490"/>
      <c r="D129" s="458"/>
      <c r="E129" s="299">
        <v>39995</v>
      </c>
      <c r="F129" s="27"/>
      <c r="G129" s="299">
        <v>0</v>
      </c>
      <c r="H129" s="445"/>
      <c r="I129" s="26">
        <f>K129-G129</f>
        <v>0</v>
      </c>
      <c r="J129" s="445"/>
      <c r="K129" s="314">
        <v>0</v>
      </c>
      <c r="L129" s="445"/>
      <c r="M129" s="314">
        <v>0</v>
      </c>
      <c r="N129" s="445"/>
      <c r="O129" s="316">
        <f>M129-K129</f>
        <v>0</v>
      </c>
    </row>
    <row r="130" spans="1:15" ht="13.5">
      <c r="A130" s="458"/>
      <c r="B130" s="485" t="s">
        <v>877</v>
      </c>
      <c r="C130" s="324"/>
      <c r="D130" s="458"/>
      <c r="E130" s="299"/>
      <c r="F130" s="27"/>
      <c r="G130" s="299"/>
      <c r="H130" s="445"/>
      <c r="I130" s="26"/>
      <c r="J130" s="445"/>
      <c r="K130" s="316"/>
      <c r="L130" s="445"/>
      <c r="M130" s="316"/>
      <c r="N130" s="445"/>
      <c r="O130" s="316"/>
    </row>
    <row r="131" spans="1:15" ht="13.5">
      <c r="A131" s="458"/>
      <c r="B131" s="485" t="s">
        <v>578</v>
      </c>
      <c r="C131" s="324"/>
      <c r="D131" s="458"/>
      <c r="E131" s="299"/>
      <c r="F131" s="27"/>
      <c r="G131" s="299"/>
      <c r="H131" s="445"/>
      <c r="I131" s="26"/>
      <c r="J131" s="445"/>
      <c r="K131" s="316"/>
      <c r="L131" s="445"/>
      <c r="M131" s="316"/>
      <c r="N131" s="445"/>
      <c r="O131" s="316"/>
    </row>
    <row r="132" spans="1:15" ht="13.5">
      <c r="A132" s="458"/>
      <c r="B132" s="485" t="s">
        <v>700</v>
      </c>
      <c r="C132" s="324" t="s">
        <v>126</v>
      </c>
      <c r="D132" s="458"/>
      <c r="E132" s="299">
        <v>0</v>
      </c>
      <c r="F132" s="27"/>
      <c r="G132" s="299">
        <v>0</v>
      </c>
      <c r="H132" s="445"/>
      <c r="I132" s="26">
        <f t="shared" ref="I132:I133" si="24">K132-G132</f>
        <v>50000</v>
      </c>
      <c r="J132" s="445"/>
      <c r="K132" s="316">
        <v>50000</v>
      </c>
      <c r="L132" s="445"/>
      <c r="M132" s="316">
        <v>50000</v>
      </c>
      <c r="N132" s="445"/>
      <c r="O132" s="316">
        <f t="shared" ref="O132:O133" si="25">M132-K132</f>
        <v>0</v>
      </c>
    </row>
    <row r="133" spans="1:15" ht="13.5">
      <c r="A133" s="458"/>
      <c r="B133" s="485" t="s">
        <v>812</v>
      </c>
      <c r="C133" s="324" t="s">
        <v>174</v>
      </c>
      <c r="D133" s="458"/>
      <c r="E133" s="299">
        <v>0</v>
      </c>
      <c r="F133" s="27"/>
      <c r="G133" s="299">
        <v>21750</v>
      </c>
      <c r="H133" s="445"/>
      <c r="I133" s="26">
        <f t="shared" si="24"/>
        <v>28250</v>
      </c>
      <c r="J133" s="445"/>
      <c r="K133" s="316">
        <v>50000</v>
      </c>
      <c r="L133" s="445"/>
      <c r="M133" s="316">
        <v>50000</v>
      </c>
      <c r="N133" s="445"/>
      <c r="O133" s="316">
        <f t="shared" si="25"/>
        <v>0</v>
      </c>
    </row>
    <row r="134" spans="1:15" ht="13.5">
      <c r="A134" s="458"/>
      <c r="B134" s="485" t="s">
        <v>878</v>
      </c>
      <c r="C134" s="324"/>
      <c r="D134" s="458"/>
      <c r="E134" s="299"/>
      <c r="F134" s="27"/>
      <c r="G134" s="299"/>
      <c r="H134" s="445"/>
      <c r="I134" s="26"/>
      <c r="J134" s="445"/>
      <c r="K134" s="316"/>
      <c r="L134" s="445"/>
      <c r="M134" s="316"/>
      <c r="N134" s="445"/>
      <c r="O134" s="316"/>
    </row>
    <row r="135" spans="1:15" ht="13.5">
      <c r="A135" s="458"/>
      <c r="B135" s="485" t="s">
        <v>578</v>
      </c>
      <c r="C135" s="324"/>
      <c r="D135" s="458"/>
      <c r="E135" s="299"/>
      <c r="F135" s="27"/>
      <c r="G135" s="299"/>
      <c r="H135" s="445"/>
      <c r="I135" s="26"/>
      <c r="J135" s="445"/>
      <c r="K135" s="316"/>
      <c r="L135" s="445"/>
      <c r="M135" s="316"/>
      <c r="N135" s="445"/>
      <c r="O135" s="316"/>
    </row>
    <row r="136" spans="1:15" ht="13.5">
      <c r="A136" s="458"/>
      <c r="B136" s="485" t="s">
        <v>700</v>
      </c>
      <c r="C136" s="324" t="s">
        <v>126</v>
      </c>
      <c r="D136" s="458"/>
      <c r="E136" s="299">
        <v>0</v>
      </c>
      <c r="F136" s="27"/>
      <c r="G136" s="299">
        <v>0</v>
      </c>
      <c r="H136" s="445"/>
      <c r="I136" s="26">
        <f t="shared" ref="I136:I137" si="26">K136-G136</f>
        <v>80000</v>
      </c>
      <c r="J136" s="445"/>
      <c r="K136" s="316">
        <v>80000</v>
      </c>
      <c r="L136" s="445"/>
      <c r="M136" s="316">
        <v>80000</v>
      </c>
      <c r="N136" s="445"/>
      <c r="O136" s="316">
        <f t="shared" ref="O136:O137" si="27">M136-K136</f>
        <v>0</v>
      </c>
    </row>
    <row r="137" spans="1:15" ht="13.5">
      <c r="A137" s="458"/>
      <c r="B137" s="485" t="s">
        <v>812</v>
      </c>
      <c r="C137" s="324" t="s">
        <v>174</v>
      </c>
      <c r="D137" s="458"/>
      <c r="E137" s="299">
        <v>0</v>
      </c>
      <c r="F137" s="27"/>
      <c r="G137" s="299">
        <v>0</v>
      </c>
      <c r="H137" s="445"/>
      <c r="I137" s="26">
        <f t="shared" si="26"/>
        <v>20000</v>
      </c>
      <c r="J137" s="445"/>
      <c r="K137" s="316">
        <v>20000</v>
      </c>
      <c r="L137" s="445"/>
      <c r="M137" s="316">
        <v>20000</v>
      </c>
      <c r="N137" s="445"/>
      <c r="O137" s="316">
        <f t="shared" si="27"/>
        <v>0</v>
      </c>
    </row>
    <row r="138" spans="1:15" ht="13.5">
      <c r="A138" s="458"/>
      <c r="B138" s="485" t="s">
        <v>879</v>
      </c>
      <c r="C138" s="324"/>
      <c r="D138" s="458"/>
      <c r="E138" s="299"/>
      <c r="F138" s="27"/>
      <c r="G138" s="299"/>
      <c r="H138" s="445"/>
      <c r="I138" s="26"/>
      <c r="J138" s="445"/>
      <c r="K138" s="316"/>
      <c r="L138" s="445"/>
      <c r="M138" s="316"/>
      <c r="N138" s="445"/>
      <c r="O138" s="316"/>
    </row>
    <row r="139" spans="1:15" ht="13.5">
      <c r="A139" s="458"/>
      <c r="B139" s="485" t="s">
        <v>880</v>
      </c>
      <c r="C139" s="324"/>
      <c r="D139" s="458"/>
      <c r="E139" s="299"/>
      <c r="F139" s="27"/>
      <c r="G139" s="299"/>
      <c r="H139" s="445"/>
      <c r="I139" s="26"/>
      <c r="J139" s="445"/>
      <c r="K139" s="316"/>
      <c r="L139" s="445"/>
      <c r="M139" s="316"/>
      <c r="N139" s="445"/>
      <c r="O139" s="316"/>
    </row>
    <row r="140" spans="1:15" ht="13.5">
      <c r="A140" s="458"/>
      <c r="B140" s="485" t="s">
        <v>578</v>
      </c>
      <c r="C140" s="324"/>
      <c r="D140" s="458"/>
      <c r="E140" s="299"/>
      <c r="F140" s="27"/>
      <c r="G140" s="299"/>
      <c r="H140" s="445"/>
      <c r="I140" s="26"/>
      <c r="J140" s="445"/>
      <c r="K140" s="316"/>
      <c r="L140" s="445"/>
      <c r="M140" s="316"/>
      <c r="N140" s="445"/>
      <c r="O140" s="316"/>
    </row>
    <row r="141" spans="1:15" ht="13.5">
      <c r="A141" s="458"/>
      <c r="B141" s="485" t="s">
        <v>813</v>
      </c>
      <c r="C141" s="324" t="s">
        <v>148</v>
      </c>
      <c r="D141" s="458"/>
      <c r="E141" s="299"/>
      <c r="F141" s="27"/>
      <c r="G141" s="299"/>
      <c r="H141" s="445"/>
      <c r="I141" s="26"/>
      <c r="J141" s="445"/>
      <c r="K141" s="316"/>
      <c r="L141" s="445"/>
      <c r="M141" s="316"/>
      <c r="N141" s="445"/>
      <c r="O141" s="316"/>
    </row>
    <row r="142" spans="1:15" ht="13.5">
      <c r="A142" s="458"/>
      <c r="B142" s="485" t="s">
        <v>814</v>
      </c>
      <c r="C142" s="324"/>
      <c r="D142" s="458"/>
      <c r="E142" s="299">
        <v>0</v>
      </c>
      <c r="F142" s="27"/>
      <c r="G142" s="299">
        <v>0</v>
      </c>
      <c r="H142" s="445"/>
      <c r="I142" s="26">
        <f t="shared" ref="I142:I143" si="28">K142-G142</f>
        <v>20000</v>
      </c>
      <c r="J142" s="445"/>
      <c r="K142" s="316">
        <v>20000</v>
      </c>
      <c r="L142" s="445"/>
      <c r="M142" s="316">
        <v>20000</v>
      </c>
      <c r="N142" s="445"/>
      <c r="O142" s="316">
        <f t="shared" ref="O142:O143" si="29">M142-K142</f>
        <v>0</v>
      </c>
    </row>
    <row r="143" spans="1:15" ht="13.5">
      <c r="A143" s="458"/>
      <c r="B143" s="485" t="s">
        <v>815</v>
      </c>
      <c r="C143" s="324"/>
      <c r="D143" s="458"/>
      <c r="E143" s="299">
        <v>0</v>
      </c>
      <c r="F143" s="27"/>
      <c r="G143" s="299">
        <v>0</v>
      </c>
      <c r="H143" s="445"/>
      <c r="I143" s="26">
        <f t="shared" si="28"/>
        <v>30000</v>
      </c>
      <c r="J143" s="445"/>
      <c r="K143" s="316">
        <v>30000</v>
      </c>
      <c r="L143" s="445"/>
      <c r="M143" s="316">
        <v>30000</v>
      </c>
      <c r="N143" s="445"/>
      <c r="O143" s="316">
        <f t="shared" si="29"/>
        <v>0</v>
      </c>
    </row>
    <row r="144" spans="1:15" ht="13.5">
      <c r="A144" s="458"/>
      <c r="B144" s="485" t="s">
        <v>881</v>
      </c>
      <c r="C144" s="324"/>
      <c r="D144" s="458"/>
      <c r="E144" s="299"/>
      <c r="F144" s="27"/>
      <c r="G144" s="299"/>
      <c r="H144" s="445"/>
      <c r="I144" s="26"/>
      <c r="J144" s="445"/>
      <c r="K144" s="316"/>
      <c r="L144" s="445"/>
      <c r="M144" s="316"/>
      <c r="N144" s="445"/>
      <c r="O144" s="316"/>
    </row>
    <row r="145" spans="1:15" ht="13.5">
      <c r="A145" s="458"/>
      <c r="B145" s="485" t="s">
        <v>578</v>
      </c>
      <c r="C145" s="324"/>
      <c r="D145" s="458"/>
      <c r="E145" s="299"/>
      <c r="F145" s="27"/>
      <c r="G145" s="299"/>
      <c r="H145" s="445"/>
      <c r="I145" s="26"/>
      <c r="J145" s="445"/>
      <c r="K145" s="316"/>
      <c r="L145" s="445"/>
      <c r="M145" s="316"/>
      <c r="N145" s="445"/>
      <c r="O145" s="316"/>
    </row>
    <row r="146" spans="1:15" ht="13.5">
      <c r="A146" s="458"/>
      <c r="B146" s="485" t="s">
        <v>813</v>
      </c>
      <c r="C146" s="324" t="s">
        <v>148</v>
      </c>
      <c r="D146" s="458"/>
      <c r="E146" s="299"/>
      <c r="F146" s="27"/>
      <c r="G146" s="299"/>
      <c r="H146" s="445"/>
      <c r="I146" s="26"/>
      <c r="J146" s="445"/>
      <c r="K146" s="316"/>
      <c r="L146" s="445"/>
      <c r="M146" s="316"/>
      <c r="N146" s="445"/>
      <c r="O146" s="316"/>
    </row>
    <row r="147" spans="1:15" ht="13.5">
      <c r="A147" s="458"/>
      <c r="B147" s="485" t="s">
        <v>814</v>
      </c>
      <c r="C147" s="324"/>
      <c r="D147" s="458"/>
      <c r="E147" s="299">
        <v>0</v>
      </c>
      <c r="F147" s="27"/>
      <c r="G147" s="299">
        <v>0</v>
      </c>
      <c r="H147" s="445"/>
      <c r="I147" s="26">
        <f t="shared" ref="I147:I148" si="30">K147-G147</f>
        <v>20000</v>
      </c>
      <c r="J147" s="445"/>
      <c r="K147" s="316">
        <v>20000</v>
      </c>
      <c r="L147" s="445"/>
      <c r="M147" s="316">
        <v>20000</v>
      </c>
      <c r="N147" s="445"/>
      <c r="O147" s="316">
        <f t="shared" ref="O147:O148" si="31">M147-K147</f>
        <v>0</v>
      </c>
    </row>
    <row r="148" spans="1:15" ht="13.5">
      <c r="A148" s="458"/>
      <c r="B148" s="485" t="s">
        <v>815</v>
      </c>
      <c r="C148" s="324"/>
      <c r="D148" s="458"/>
      <c r="E148" s="299">
        <v>0</v>
      </c>
      <c r="F148" s="27"/>
      <c r="G148" s="299">
        <v>0</v>
      </c>
      <c r="H148" s="445"/>
      <c r="I148" s="26">
        <f t="shared" si="30"/>
        <v>30000</v>
      </c>
      <c r="J148" s="445"/>
      <c r="K148" s="316">
        <v>30000</v>
      </c>
      <c r="L148" s="445"/>
      <c r="M148" s="316">
        <v>30000</v>
      </c>
      <c r="N148" s="445"/>
      <c r="O148" s="316">
        <f t="shared" si="31"/>
        <v>0</v>
      </c>
    </row>
    <row r="149" spans="1:15" ht="13.5">
      <c r="A149" s="458"/>
      <c r="B149" s="484" t="s">
        <v>113</v>
      </c>
      <c r="C149" s="324"/>
      <c r="D149" s="458"/>
      <c r="E149" s="299"/>
      <c r="F149" s="27"/>
      <c r="G149" s="299"/>
      <c r="H149" s="445"/>
      <c r="I149" s="26"/>
      <c r="J149" s="445"/>
      <c r="K149" s="26"/>
      <c r="L149" s="445"/>
      <c r="M149" s="26"/>
      <c r="N149" s="445"/>
      <c r="O149" s="26"/>
    </row>
    <row r="150" spans="1:15" ht="13.5">
      <c r="A150" s="458"/>
      <c r="B150" s="485" t="s">
        <v>576</v>
      </c>
      <c r="C150" s="324"/>
      <c r="D150" s="458"/>
      <c r="E150" s="299"/>
      <c r="F150" s="27"/>
      <c r="G150" s="299"/>
      <c r="H150" s="445"/>
      <c r="I150" s="26"/>
      <c r="J150" s="445"/>
      <c r="K150" s="314"/>
      <c r="L150" s="445"/>
      <c r="M150" s="314"/>
      <c r="N150" s="445"/>
      <c r="O150" s="314"/>
    </row>
    <row r="151" spans="1:15" ht="13.5">
      <c r="A151" s="458"/>
      <c r="B151" s="485" t="s">
        <v>607</v>
      </c>
      <c r="C151" s="489"/>
      <c r="D151" s="458"/>
      <c r="E151" s="299"/>
      <c r="F151" s="27"/>
      <c r="G151" s="299"/>
      <c r="H151" s="445"/>
      <c r="I151" s="26"/>
      <c r="J151" s="445"/>
      <c r="K151" s="314"/>
      <c r="L151" s="445"/>
      <c r="M151" s="314"/>
      <c r="N151" s="445"/>
      <c r="O151" s="314"/>
    </row>
    <row r="152" spans="1:15" ht="13.5">
      <c r="A152" s="493"/>
      <c r="B152" s="494" t="s">
        <v>683</v>
      </c>
      <c r="C152" s="326" t="s">
        <v>128</v>
      </c>
      <c r="D152" s="493"/>
      <c r="E152" s="302">
        <v>10000</v>
      </c>
      <c r="F152" s="60"/>
      <c r="G152" s="302">
        <v>0</v>
      </c>
      <c r="H152" s="450"/>
      <c r="I152" s="31">
        <f t="shared" ref="I152:I156" si="32">K152-G152</f>
        <v>10000</v>
      </c>
      <c r="J152" s="450"/>
      <c r="K152" s="321">
        <v>10000</v>
      </c>
      <c r="L152" s="450"/>
      <c r="M152" s="713">
        <v>20000</v>
      </c>
      <c r="N152" s="445"/>
      <c r="O152" s="316">
        <f t="shared" ref="O152:O154" si="33">M152-K152</f>
        <v>10000</v>
      </c>
    </row>
    <row r="153" spans="1:15" ht="13.5">
      <c r="A153" s="458"/>
      <c r="B153" s="485" t="s">
        <v>816</v>
      </c>
      <c r="C153" s="443" t="s">
        <v>174</v>
      </c>
      <c r="D153" s="458"/>
      <c r="E153" s="299">
        <v>1450</v>
      </c>
      <c r="F153" s="27"/>
      <c r="G153" s="299">
        <v>0</v>
      </c>
      <c r="H153" s="445"/>
      <c r="I153" s="26">
        <f t="shared" si="32"/>
        <v>6000</v>
      </c>
      <c r="J153" s="445"/>
      <c r="K153" s="314">
        <v>6000</v>
      </c>
      <c r="L153" s="445"/>
      <c r="M153" s="316">
        <v>10000</v>
      </c>
      <c r="N153" s="445"/>
      <c r="O153" s="316">
        <f t="shared" si="33"/>
        <v>4000</v>
      </c>
    </row>
    <row r="154" spans="1:15" ht="13.5">
      <c r="A154" s="458"/>
      <c r="B154" s="485" t="s">
        <v>684</v>
      </c>
      <c r="C154" s="324" t="s">
        <v>137</v>
      </c>
      <c r="D154" s="458"/>
      <c r="E154" s="299">
        <v>764</v>
      </c>
      <c r="F154" s="27"/>
      <c r="G154" s="299">
        <v>0</v>
      </c>
      <c r="H154" s="445"/>
      <c r="I154" s="26">
        <f t="shared" si="32"/>
        <v>2000</v>
      </c>
      <c r="J154" s="445"/>
      <c r="K154" s="314">
        <v>2000</v>
      </c>
      <c r="L154" s="445"/>
      <c r="M154" s="316">
        <v>5000</v>
      </c>
      <c r="N154" s="445"/>
      <c r="O154" s="316">
        <f t="shared" si="33"/>
        <v>3000</v>
      </c>
    </row>
    <row r="155" spans="1:15" ht="13.5">
      <c r="A155" s="458"/>
      <c r="B155" s="485" t="s">
        <v>685</v>
      </c>
      <c r="C155" s="490" t="s">
        <v>148</v>
      </c>
      <c r="D155" s="458"/>
      <c r="E155" s="299"/>
      <c r="F155" s="27"/>
      <c r="G155" s="299"/>
      <c r="H155" s="445"/>
      <c r="I155" s="26"/>
      <c r="J155" s="445"/>
      <c r="K155" s="314"/>
      <c r="L155" s="445"/>
      <c r="M155" s="314"/>
      <c r="N155" s="445"/>
      <c r="O155" s="314"/>
    </row>
    <row r="156" spans="1:15" ht="13.5">
      <c r="A156" s="458"/>
      <c r="B156" s="485" t="s">
        <v>686</v>
      </c>
      <c r="C156" s="490"/>
      <c r="D156" s="458"/>
      <c r="E156" s="299">
        <v>29325</v>
      </c>
      <c r="F156" s="27"/>
      <c r="G156" s="299">
        <v>11470</v>
      </c>
      <c r="H156" s="445"/>
      <c r="I156" s="26">
        <f t="shared" si="32"/>
        <v>28530</v>
      </c>
      <c r="J156" s="445"/>
      <c r="K156" s="314">
        <v>40000</v>
      </c>
      <c r="L156" s="445"/>
      <c r="M156" s="316">
        <v>65000</v>
      </c>
      <c r="N156" s="445"/>
      <c r="O156" s="316">
        <f>M156-K156</f>
        <v>25000</v>
      </c>
    </row>
    <row r="157" spans="1:15" ht="13.5">
      <c r="A157" s="429" t="s">
        <v>646</v>
      </c>
      <c r="B157" s="451"/>
      <c r="C157" s="324"/>
      <c r="D157" s="445"/>
      <c r="E157" s="299"/>
      <c r="F157" s="27"/>
      <c r="G157" s="299"/>
      <c r="H157" s="445"/>
      <c r="I157" s="26"/>
      <c r="J157" s="445"/>
      <c r="K157" s="26"/>
      <c r="L157" s="445"/>
      <c r="M157" s="26"/>
      <c r="N157" s="445"/>
      <c r="O157" s="26"/>
    </row>
    <row r="158" spans="1:15" ht="13.5">
      <c r="A158" s="434" t="s">
        <v>40</v>
      </c>
      <c r="B158" s="451"/>
      <c r="C158" s="324"/>
      <c r="D158" s="445"/>
      <c r="E158" s="299"/>
      <c r="F158" s="27"/>
      <c r="G158" s="299"/>
      <c r="H158" s="445"/>
      <c r="I158" s="26"/>
      <c r="J158" s="445"/>
      <c r="K158" s="26"/>
      <c r="L158" s="445"/>
      <c r="M158" s="26"/>
      <c r="N158" s="445"/>
      <c r="O158" s="26"/>
    </row>
    <row r="159" spans="1:15" ht="13.5">
      <c r="A159" s="458" t="s">
        <v>577</v>
      </c>
      <c r="B159" s="485"/>
      <c r="C159" s="324"/>
      <c r="D159" s="445"/>
      <c r="E159" s="299"/>
      <c r="F159" s="27"/>
      <c r="G159" s="299"/>
      <c r="H159" s="445"/>
      <c r="I159" s="26"/>
      <c r="J159" s="445"/>
      <c r="K159" s="26"/>
      <c r="L159" s="445"/>
      <c r="M159" s="26"/>
      <c r="N159" s="445"/>
      <c r="O159" s="26"/>
    </row>
    <row r="160" spans="1:15" ht="13.5">
      <c r="A160" s="458" t="s">
        <v>578</v>
      </c>
      <c r="B160" s="485"/>
      <c r="C160" s="324"/>
      <c r="D160" s="445"/>
      <c r="E160" s="299"/>
      <c r="F160" s="27"/>
      <c r="G160" s="299"/>
      <c r="H160" s="445"/>
      <c r="I160" s="26"/>
      <c r="J160" s="445"/>
      <c r="K160" s="26"/>
      <c r="L160" s="445"/>
      <c r="M160" s="26"/>
      <c r="N160" s="445"/>
      <c r="O160" s="26"/>
    </row>
    <row r="161" spans="1:15" ht="13.5">
      <c r="A161" s="458"/>
      <c r="B161" s="485" t="s">
        <v>517</v>
      </c>
      <c r="C161" s="324" t="s">
        <v>126</v>
      </c>
      <c r="D161" s="445"/>
      <c r="E161" s="299"/>
      <c r="F161" s="27"/>
      <c r="G161" s="299">
        <v>5100.68</v>
      </c>
      <c r="H161" s="445"/>
      <c r="I161" s="26">
        <f>K161-G161</f>
        <v>69899.320000000007</v>
      </c>
      <c r="J161" s="445"/>
      <c r="K161" s="314">
        <v>75000</v>
      </c>
      <c r="L161" s="445"/>
      <c r="M161" s="316">
        <v>75000</v>
      </c>
      <c r="N161" s="445"/>
      <c r="O161" s="316">
        <f t="shared" ref="O161:O165" si="34">M161-K161</f>
        <v>0</v>
      </c>
    </row>
    <row r="162" spans="1:15" ht="13.5">
      <c r="A162" s="458"/>
      <c r="B162" s="485" t="s">
        <v>518</v>
      </c>
      <c r="C162" s="324" t="s">
        <v>127</v>
      </c>
      <c r="D162" s="445"/>
      <c r="E162" s="299">
        <v>26800</v>
      </c>
      <c r="F162" s="27"/>
      <c r="G162" s="299">
        <v>5800</v>
      </c>
      <c r="H162" s="445"/>
      <c r="I162" s="26">
        <f>K162-G162</f>
        <v>44200</v>
      </c>
      <c r="J162" s="445"/>
      <c r="K162" s="314">
        <v>50000</v>
      </c>
      <c r="L162" s="445"/>
      <c r="M162" s="316">
        <v>50000</v>
      </c>
      <c r="N162" s="445"/>
      <c r="O162" s="316">
        <f t="shared" si="34"/>
        <v>0</v>
      </c>
    </row>
    <row r="163" spans="1:15" ht="13.5">
      <c r="A163" s="458"/>
      <c r="B163" s="485" t="s">
        <v>579</v>
      </c>
      <c r="C163" s="324" t="s">
        <v>173</v>
      </c>
      <c r="D163" s="445"/>
      <c r="E163" s="299">
        <v>135000</v>
      </c>
      <c r="F163" s="27"/>
      <c r="G163" s="299">
        <v>0</v>
      </c>
      <c r="H163" s="445"/>
      <c r="I163" s="26">
        <f>K163-G163</f>
        <v>200000</v>
      </c>
      <c r="J163" s="445"/>
      <c r="K163" s="314">
        <v>200000</v>
      </c>
      <c r="L163" s="445"/>
      <c r="M163" s="316">
        <v>200000</v>
      </c>
      <c r="N163" s="445"/>
      <c r="O163" s="316">
        <f t="shared" si="34"/>
        <v>0</v>
      </c>
    </row>
    <row r="164" spans="1:15" ht="13.5">
      <c r="A164" s="458"/>
      <c r="B164" s="485" t="s">
        <v>580</v>
      </c>
      <c r="C164" s="324" t="s">
        <v>129</v>
      </c>
      <c r="D164" s="445"/>
      <c r="E164" s="299">
        <v>33750</v>
      </c>
      <c r="F164" s="27"/>
      <c r="G164" s="299">
        <v>0</v>
      </c>
      <c r="H164" s="445"/>
      <c r="I164" s="26">
        <f>K164-G164</f>
        <v>50000</v>
      </c>
      <c r="J164" s="445"/>
      <c r="K164" s="314">
        <v>50000</v>
      </c>
      <c r="L164" s="445"/>
      <c r="M164" s="316">
        <v>50000</v>
      </c>
      <c r="N164" s="445"/>
      <c r="O164" s="316">
        <f t="shared" si="34"/>
        <v>0</v>
      </c>
    </row>
    <row r="165" spans="1:15" ht="13.5">
      <c r="A165" s="458"/>
      <c r="B165" s="485" t="s">
        <v>820</v>
      </c>
      <c r="C165" s="324" t="s">
        <v>141</v>
      </c>
      <c r="D165" s="445"/>
      <c r="E165" s="299">
        <v>0</v>
      </c>
      <c r="F165" s="27"/>
      <c r="G165" s="299">
        <v>0</v>
      </c>
      <c r="H165" s="445"/>
      <c r="I165" s="26">
        <f>K165-G165</f>
        <v>15000</v>
      </c>
      <c r="J165" s="445"/>
      <c r="K165" s="314">
        <v>15000</v>
      </c>
      <c r="L165" s="445"/>
      <c r="M165" s="316">
        <v>15000</v>
      </c>
      <c r="N165" s="445"/>
      <c r="O165" s="316">
        <f t="shared" si="34"/>
        <v>0</v>
      </c>
    </row>
    <row r="166" spans="1:15" ht="13.5">
      <c r="A166" s="458"/>
      <c r="B166" s="485" t="s">
        <v>77</v>
      </c>
      <c r="C166" s="324" t="s">
        <v>148</v>
      </c>
      <c r="D166" s="445"/>
      <c r="E166" s="299"/>
      <c r="F166" s="27"/>
      <c r="G166" s="299"/>
      <c r="H166" s="445"/>
      <c r="I166" s="26"/>
      <c r="J166" s="445"/>
      <c r="K166" s="314"/>
      <c r="L166" s="445"/>
      <c r="M166" s="314"/>
      <c r="N166" s="445"/>
      <c r="O166" s="314"/>
    </row>
    <row r="167" spans="1:15" ht="13.5">
      <c r="A167" s="458"/>
      <c r="B167" s="485" t="s">
        <v>573</v>
      </c>
      <c r="C167" s="324"/>
      <c r="D167" s="445"/>
      <c r="E167" s="299">
        <v>0</v>
      </c>
      <c r="F167" s="27"/>
      <c r="G167" s="299">
        <v>0</v>
      </c>
      <c r="H167" s="445"/>
      <c r="I167" s="26">
        <f>K167-G167</f>
        <v>50000</v>
      </c>
      <c r="J167" s="445"/>
      <c r="K167" s="314">
        <v>50000</v>
      </c>
      <c r="L167" s="445"/>
      <c r="M167" s="316">
        <v>50000</v>
      </c>
      <c r="N167" s="445"/>
      <c r="O167" s="316">
        <f t="shared" ref="O167:O170" si="35">M167-K167</f>
        <v>0</v>
      </c>
    </row>
    <row r="168" spans="1:15" ht="13.5">
      <c r="A168" s="458"/>
      <c r="B168" s="485" t="s">
        <v>581</v>
      </c>
      <c r="C168" s="324"/>
      <c r="D168" s="445"/>
      <c r="E168" s="299">
        <v>679356.93</v>
      </c>
      <c r="F168" s="27"/>
      <c r="G168" s="299">
        <v>257036.5</v>
      </c>
      <c r="H168" s="445"/>
      <c r="I168" s="26">
        <f>K168-G168</f>
        <v>500963.5</v>
      </c>
      <c r="J168" s="445"/>
      <c r="K168" s="314">
        <v>758000</v>
      </c>
      <c r="L168" s="445"/>
      <c r="M168" s="316">
        <v>758000</v>
      </c>
      <c r="N168" s="445"/>
      <c r="O168" s="316">
        <f t="shared" si="35"/>
        <v>0</v>
      </c>
    </row>
    <row r="169" spans="1:15" ht="13.5">
      <c r="A169" s="458"/>
      <c r="B169" s="485" t="s">
        <v>582</v>
      </c>
      <c r="C169" s="324"/>
      <c r="D169" s="445"/>
      <c r="E169" s="299">
        <v>774000</v>
      </c>
      <c r="F169" s="27"/>
      <c r="G169" s="299">
        <v>400500</v>
      </c>
      <c r="H169" s="445"/>
      <c r="I169" s="26">
        <f>K169-G169</f>
        <v>403500</v>
      </c>
      <c r="J169" s="445"/>
      <c r="K169" s="314">
        <v>804000</v>
      </c>
      <c r="L169" s="445"/>
      <c r="M169" s="316">
        <v>876000</v>
      </c>
      <c r="N169" s="445"/>
      <c r="O169" s="316">
        <f t="shared" si="35"/>
        <v>72000</v>
      </c>
    </row>
    <row r="170" spans="1:15" ht="13.5">
      <c r="A170" s="458"/>
      <c r="B170" s="485" t="s">
        <v>821</v>
      </c>
      <c r="C170" s="324"/>
      <c r="D170" s="445"/>
      <c r="E170" s="299">
        <v>0</v>
      </c>
      <c r="F170" s="27"/>
      <c r="G170" s="299">
        <v>0</v>
      </c>
      <c r="H170" s="445"/>
      <c r="I170" s="26">
        <f>K170-G170</f>
        <v>100000</v>
      </c>
      <c r="J170" s="445"/>
      <c r="K170" s="314">
        <v>100000</v>
      </c>
      <c r="L170" s="445"/>
      <c r="M170" s="316">
        <v>100000</v>
      </c>
      <c r="N170" s="450"/>
      <c r="O170" s="713">
        <f t="shared" si="35"/>
        <v>0</v>
      </c>
    </row>
    <row r="171" spans="1:15" ht="13.5">
      <c r="A171" s="458"/>
      <c r="B171" s="485" t="s">
        <v>822</v>
      </c>
      <c r="C171" s="324"/>
      <c r="D171" s="445"/>
      <c r="E171" s="299"/>
      <c r="F171" s="27"/>
      <c r="G171" s="299"/>
      <c r="H171" s="445"/>
      <c r="I171" s="26"/>
      <c r="J171" s="445"/>
      <c r="K171" s="314"/>
      <c r="L171" s="445"/>
      <c r="M171" s="314"/>
      <c r="N171" s="445"/>
      <c r="O171" s="314"/>
    </row>
    <row r="172" spans="1:15" ht="13.5">
      <c r="A172" s="458"/>
      <c r="B172" s="485" t="s">
        <v>823</v>
      </c>
      <c r="C172" s="324"/>
      <c r="D172" s="445"/>
      <c r="E172" s="299">
        <v>0</v>
      </c>
      <c r="F172" s="27"/>
      <c r="G172" s="299">
        <v>0</v>
      </c>
      <c r="H172" s="445"/>
      <c r="I172" s="26">
        <f>K172-G172</f>
        <v>30000</v>
      </c>
      <c r="J172" s="445"/>
      <c r="K172" s="314">
        <v>30000</v>
      </c>
      <c r="L172" s="445"/>
      <c r="M172" s="316">
        <v>30000</v>
      </c>
      <c r="N172" s="445"/>
      <c r="O172" s="316">
        <f>M172-K172</f>
        <v>0</v>
      </c>
    </row>
    <row r="173" spans="1:15" ht="13.5">
      <c r="A173" s="458" t="s">
        <v>844</v>
      </c>
      <c r="B173" s="485"/>
      <c r="C173" s="324"/>
      <c r="D173" s="445"/>
      <c r="E173" s="299"/>
      <c r="F173" s="27"/>
      <c r="G173" s="299"/>
      <c r="H173" s="445"/>
      <c r="I173" s="26"/>
      <c r="J173" s="445"/>
      <c r="K173" s="314"/>
      <c r="L173" s="445"/>
      <c r="M173" s="314"/>
      <c r="N173" s="445"/>
      <c r="O173" s="314"/>
    </row>
    <row r="174" spans="1:15" ht="13.5">
      <c r="A174" s="458"/>
      <c r="B174" s="491" t="s">
        <v>706</v>
      </c>
      <c r="C174" s="324"/>
      <c r="D174" s="445"/>
      <c r="E174" s="299"/>
      <c r="F174" s="27"/>
      <c r="G174" s="299"/>
      <c r="H174" s="445"/>
      <c r="I174" s="26"/>
      <c r="J174" s="445"/>
      <c r="K174" s="314"/>
      <c r="L174" s="445"/>
      <c r="M174" s="314"/>
      <c r="N174" s="445"/>
      <c r="O174" s="314"/>
    </row>
    <row r="175" spans="1:15" ht="13.5">
      <c r="A175" s="458"/>
      <c r="B175" s="485" t="s">
        <v>613</v>
      </c>
      <c r="C175" s="324" t="s">
        <v>126</v>
      </c>
      <c r="D175" s="445"/>
      <c r="E175" s="299">
        <v>12000</v>
      </c>
      <c r="F175" s="27"/>
      <c r="G175" s="299">
        <v>0</v>
      </c>
      <c r="H175" s="445"/>
      <c r="I175" s="26">
        <f t="shared" ref="I175:I177" si="36">K175-G175</f>
        <v>50000</v>
      </c>
      <c r="J175" s="445"/>
      <c r="K175" s="314">
        <v>50000</v>
      </c>
      <c r="L175" s="445"/>
      <c r="M175" s="316">
        <v>50000</v>
      </c>
      <c r="N175" s="445"/>
      <c r="O175" s="316">
        <f t="shared" ref="O175:O177" si="37">M175-K175</f>
        <v>0</v>
      </c>
    </row>
    <row r="176" spans="1:15" ht="13.5">
      <c r="A176" s="458"/>
      <c r="B176" s="485" t="s">
        <v>631</v>
      </c>
      <c r="C176" s="324" t="s">
        <v>127</v>
      </c>
      <c r="D176" s="445"/>
      <c r="E176" s="299">
        <v>10400</v>
      </c>
      <c r="F176" s="27"/>
      <c r="G176" s="299">
        <v>0</v>
      </c>
      <c r="H176" s="445"/>
      <c r="I176" s="26">
        <f t="shared" si="36"/>
        <v>50000</v>
      </c>
      <c r="J176" s="445"/>
      <c r="K176" s="314">
        <v>50000</v>
      </c>
      <c r="L176" s="445"/>
      <c r="M176" s="316">
        <v>50000</v>
      </c>
      <c r="N176" s="445"/>
      <c r="O176" s="316">
        <f t="shared" si="37"/>
        <v>0</v>
      </c>
    </row>
    <row r="177" spans="1:17" ht="13.5">
      <c r="A177" s="458"/>
      <c r="B177" s="485" t="s">
        <v>632</v>
      </c>
      <c r="C177" s="324" t="s">
        <v>173</v>
      </c>
      <c r="D177" s="445"/>
      <c r="E177" s="299">
        <v>212742.98</v>
      </c>
      <c r="F177" s="27"/>
      <c r="G177" s="299">
        <v>0</v>
      </c>
      <c r="H177" s="445"/>
      <c r="I177" s="26">
        <f t="shared" si="36"/>
        <v>400000</v>
      </c>
      <c r="J177" s="445"/>
      <c r="K177" s="314">
        <v>400000</v>
      </c>
      <c r="L177" s="445"/>
      <c r="M177" s="316">
        <v>400000</v>
      </c>
      <c r="N177" s="445"/>
      <c r="O177" s="316">
        <f t="shared" si="37"/>
        <v>0</v>
      </c>
    </row>
    <row r="178" spans="1:17" ht="13.5">
      <c r="A178" s="458"/>
      <c r="B178" s="485" t="s">
        <v>610</v>
      </c>
      <c r="C178" s="324" t="s">
        <v>148</v>
      </c>
      <c r="D178" s="445"/>
      <c r="E178" s="299"/>
      <c r="F178" s="27"/>
      <c r="G178" s="299"/>
      <c r="H178" s="445"/>
      <c r="I178" s="26"/>
      <c r="J178" s="445"/>
      <c r="K178" s="314"/>
      <c r="L178" s="445"/>
      <c r="M178" s="314"/>
      <c r="N178" s="445"/>
      <c r="O178" s="314"/>
    </row>
    <row r="179" spans="1:17" ht="13.5">
      <c r="A179" s="458"/>
      <c r="B179" s="485" t="s">
        <v>614</v>
      </c>
      <c r="C179" s="324"/>
      <c r="D179" s="445"/>
      <c r="E179" s="299">
        <v>1133415.69</v>
      </c>
      <c r="F179" s="27"/>
      <c r="G179" s="299">
        <v>343934.43</v>
      </c>
      <c r="H179" s="445"/>
      <c r="I179" s="26">
        <f>K179-G179</f>
        <v>928065.57000000007</v>
      </c>
      <c r="J179" s="445"/>
      <c r="K179" s="314">
        <v>1272000</v>
      </c>
      <c r="L179" s="445"/>
      <c r="M179" s="316">
        <v>1272000</v>
      </c>
      <c r="N179" s="445"/>
      <c r="O179" s="316">
        <f>M179-K179</f>
        <v>0</v>
      </c>
    </row>
    <row r="180" spans="1:17" ht="13.5">
      <c r="A180" s="458" t="s">
        <v>845</v>
      </c>
      <c r="B180" s="485"/>
      <c r="C180" s="324"/>
      <c r="D180" s="445"/>
      <c r="E180" s="299"/>
      <c r="F180" s="27"/>
      <c r="G180" s="299"/>
      <c r="H180" s="445"/>
      <c r="I180" s="26"/>
      <c r="J180" s="445"/>
      <c r="K180" s="314"/>
      <c r="L180" s="445"/>
      <c r="M180" s="314"/>
      <c r="N180" s="445"/>
      <c r="O180" s="314"/>
    </row>
    <row r="181" spans="1:17" ht="13.5">
      <c r="A181" s="458" t="s">
        <v>578</v>
      </c>
      <c r="B181" s="485"/>
      <c r="C181" s="324"/>
      <c r="D181" s="445"/>
      <c r="E181" s="299"/>
      <c r="F181" s="27"/>
      <c r="G181" s="299"/>
      <c r="H181" s="445"/>
      <c r="I181" s="26"/>
      <c r="J181" s="445"/>
      <c r="K181" s="314"/>
      <c r="L181" s="445"/>
      <c r="M181" s="314"/>
      <c r="N181" s="445"/>
      <c r="O181" s="314"/>
    </row>
    <row r="182" spans="1:17" ht="13.5">
      <c r="A182" s="458"/>
      <c r="B182" s="485" t="s">
        <v>655</v>
      </c>
      <c r="C182" s="324" t="s">
        <v>148</v>
      </c>
      <c r="D182" s="445"/>
      <c r="E182" s="299"/>
      <c r="F182" s="27"/>
      <c r="G182" s="299"/>
      <c r="H182" s="445"/>
      <c r="I182" s="26"/>
      <c r="J182" s="445"/>
      <c r="K182" s="314"/>
      <c r="L182" s="445"/>
      <c r="M182" s="314"/>
      <c r="N182" s="445"/>
      <c r="O182" s="314"/>
    </row>
    <row r="183" spans="1:17" s="482" customFormat="1" ht="13.5">
      <c r="A183" s="480"/>
      <c r="B183" s="492" t="s">
        <v>654</v>
      </c>
      <c r="C183" s="325"/>
      <c r="D183" s="481"/>
      <c r="E183" s="299">
        <v>1755000</v>
      </c>
      <c r="F183" s="54"/>
      <c r="G183" s="299">
        <v>0</v>
      </c>
      <c r="H183" s="481"/>
      <c r="I183" s="52">
        <f>K183-G183</f>
        <v>1800000</v>
      </c>
      <c r="J183" s="481"/>
      <c r="K183" s="317">
        <v>1800000</v>
      </c>
      <c r="L183" s="445"/>
      <c r="M183" s="316">
        <v>1800000</v>
      </c>
      <c r="N183" s="481"/>
      <c r="O183" s="316">
        <f>M183-K183</f>
        <v>0</v>
      </c>
      <c r="P183" s="932"/>
      <c r="Q183" s="932"/>
    </row>
    <row r="184" spans="1:17" ht="13.5">
      <c r="A184" s="458" t="s">
        <v>846</v>
      </c>
      <c r="B184" s="485"/>
      <c r="C184" s="324"/>
      <c r="D184" s="445"/>
      <c r="E184" s="299"/>
      <c r="F184" s="27"/>
      <c r="G184" s="299"/>
      <c r="H184" s="445"/>
      <c r="I184" s="26"/>
      <c r="J184" s="445"/>
      <c r="K184" s="26"/>
      <c r="L184" s="445"/>
      <c r="M184" s="26"/>
      <c r="N184" s="445"/>
      <c r="O184" s="26"/>
    </row>
    <row r="185" spans="1:17" ht="13.5">
      <c r="A185" s="458" t="s">
        <v>578</v>
      </c>
      <c r="B185" s="485"/>
      <c r="C185" s="324"/>
      <c r="D185" s="445"/>
      <c r="E185" s="299"/>
      <c r="F185" s="27"/>
      <c r="G185" s="299"/>
      <c r="H185" s="445"/>
      <c r="I185" s="26"/>
      <c r="J185" s="445"/>
      <c r="K185" s="314"/>
      <c r="L185" s="445"/>
      <c r="M185" s="314"/>
      <c r="N185" s="445"/>
      <c r="O185" s="314"/>
    </row>
    <row r="186" spans="1:17" ht="13.5">
      <c r="A186" s="458"/>
      <c r="B186" s="485" t="s">
        <v>544</v>
      </c>
      <c r="C186" s="324" t="s">
        <v>148</v>
      </c>
      <c r="D186" s="445"/>
      <c r="E186" s="299"/>
      <c r="F186" s="27"/>
      <c r="G186" s="299"/>
      <c r="H186" s="445"/>
      <c r="I186" s="26"/>
      <c r="J186" s="445"/>
      <c r="K186" s="314"/>
      <c r="L186" s="445"/>
      <c r="M186" s="314"/>
      <c r="N186" s="445"/>
      <c r="O186" s="314"/>
    </row>
    <row r="187" spans="1:17" ht="13.5">
      <c r="A187" s="458"/>
      <c r="B187" s="485" t="s">
        <v>599</v>
      </c>
      <c r="C187" s="324"/>
      <c r="D187" s="445"/>
      <c r="E187" s="299">
        <v>0</v>
      </c>
      <c r="F187" s="27"/>
      <c r="G187" s="299">
        <v>0</v>
      </c>
      <c r="H187" s="445"/>
      <c r="I187" s="26">
        <f>K187-G187</f>
        <v>100000</v>
      </c>
      <c r="J187" s="445"/>
      <c r="K187" s="314">
        <v>100000</v>
      </c>
      <c r="L187" s="445"/>
      <c r="M187" s="316">
        <v>100000</v>
      </c>
      <c r="N187" s="445"/>
      <c r="O187" s="316">
        <f>M187-K187</f>
        <v>0</v>
      </c>
    </row>
    <row r="188" spans="1:17" ht="13.5">
      <c r="A188" s="458" t="s">
        <v>847</v>
      </c>
      <c r="B188" s="485"/>
      <c r="C188" s="324"/>
      <c r="D188" s="445"/>
      <c r="E188" s="299"/>
      <c r="F188" s="27"/>
      <c r="G188" s="299"/>
      <c r="H188" s="445"/>
      <c r="I188" s="26"/>
      <c r="J188" s="445"/>
      <c r="K188" s="26"/>
      <c r="L188" s="445"/>
      <c r="M188" s="26"/>
      <c r="N188" s="445"/>
      <c r="O188" s="26"/>
    </row>
    <row r="189" spans="1:17" ht="13.5">
      <c r="A189" s="458" t="s">
        <v>578</v>
      </c>
      <c r="B189" s="485"/>
      <c r="C189" s="324"/>
      <c r="D189" s="445"/>
      <c r="E189" s="299"/>
      <c r="F189" s="27"/>
      <c r="G189" s="299"/>
      <c r="H189" s="445"/>
      <c r="I189" s="26"/>
      <c r="J189" s="445"/>
      <c r="K189" s="314"/>
      <c r="L189" s="445"/>
      <c r="M189" s="314"/>
      <c r="N189" s="445"/>
      <c r="O189" s="314"/>
    </row>
    <row r="190" spans="1:17" ht="13.5">
      <c r="A190" s="458"/>
      <c r="B190" s="485" t="s">
        <v>361</v>
      </c>
      <c r="C190" s="324" t="s">
        <v>126</v>
      </c>
      <c r="D190" s="445"/>
      <c r="E190" s="299">
        <v>0</v>
      </c>
      <c r="F190" s="27"/>
      <c r="G190" s="299">
        <v>0</v>
      </c>
      <c r="H190" s="445"/>
      <c r="I190" s="26">
        <f>K190-G190</f>
        <v>40000</v>
      </c>
      <c r="J190" s="445"/>
      <c r="K190" s="314">
        <v>40000</v>
      </c>
      <c r="L190" s="445"/>
      <c r="M190" s="316">
        <v>100000</v>
      </c>
      <c r="N190" s="445"/>
      <c r="O190" s="316">
        <f t="shared" ref="O190:O191" si="38">M190-K190</f>
        <v>60000</v>
      </c>
    </row>
    <row r="191" spans="1:17" ht="13.5">
      <c r="A191" s="458"/>
      <c r="B191" s="485" t="s">
        <v>656</v>
      </c>
      <c r="C191" s="324" t="s">
        <v>128</v>
      </c>
      <c r="D191" s="445"/>
      <c r="E191" s="299">
        <v>6740</v>
      </c>
      <c r="F191" s="27"/>
      <c r="G191" s="299">
        <v>0</v>
      </c>
      <c r="H191" s="445"/>
      <c r="I191" s="26">
        <f>K191-G191</f>
        <v>10000</v>
      </c>
      <c r="J191" s="445"/>
      <c r="K191" s="314">
        <v>10000</v>
      </c>
      <c r="L191" s="445"/>
      <c r="M191" s="316">
        <v>10000</v>
      </c>
      <c r="N191" s="445"/>
      <c r="O191" s="316">
        <f t="shared" si="38"/>
        <v>0</v>
      </c>
    </row>
    <row r="192" spans="1:17" ht="13.5">
      <c r="A192" s="458"/>
      <c r="B192" s="485" t="s">
        <v>657</v>
      </c>
      <c r="C192" s="324" t="s">
        <v>148</v>
      </c>
      <c r="D192" s="445"/>
      <c r="E192" s="299"/>
      <c r="F192" s="27"/>
      <c r="G192" s="299"/>
      <c r="H192" s="445"/>
      <c r="I192" s="26"/>
      <c r="J192" s="445"/>
      <c r="K192" s="314"/>
      <c r="L192" s="445"/>
      <c r="M192" s="314"/>
      <c r="N192" s="445"/>
      <c r="O192" s="314"/>
    </row>
    <row r="193" spans="1:15" ht="13.5">
      <c r="A193" s="458"/>
      <c r="B193" s="485" t="s">
        <v>658</v>
      </c>
      <c r="C193" s="324"/>
      <c r="D193" s="445"/>
      <c r="E193" s="299">
        <v>0</v>
      </c>
      <c r="F193" s="27"/>
      <c r="G193" s="299">
        <v>0</v>
      </c>
      <c r="H193" s="445"/>
      <c r="I193" s="26">
        <f>K193-G193</f>
        <v>30000</v>
      </c>
      <c r="J193" s="445"/>
      <c r="K193" s="314">
        <v>30000</v>
      </c>
      <c r="L193" s="445"/>
      <c r="M193" s="316">
        <v>30000</v>
      </c>
      <c r="N193" s="445"/>
      <c r="O193" s="316">
        <f t="shared" ref="O193:O195" si="39">M193-K193</f>
        <v>0</v>
      </c>
    </row>
    <row r="194" spans="1:15" ht="13.5">
      <c r="A194" s="458"/>
      <c r="B194" s="485" t="s">
        <v>659</v>
      </c>
      <c r="C194" s="324"/>
      <c r="D194" s="445"/>
      <c r="E194" s="299">
        <v>0</v>
      </c>
      <c r="F194" s="27"/>
      <c r="G194" s="299">
        <v>0</v>
      </c>
      <c r="H194" s="445"/>
      <c r="I194" s="26">
        <f>K194-G194</f>
        <v>20000</v>
      </c>
      <c r="J194" s="445"/>
      <c r="K194" s="314">
        <v>20000</v>
      </c>
      <c r="L194" s="445"/>
      <c r="M194" s="316">
        <v>20000</v>
      </c>
      <c r="N194" s="445"/>
      <c r="O194" s="316">
        <f t="shared" ref="O194" si="40">M194-K194</f>
        <v>0</v>
      </c>
    </row>
    <row r="195" spans="1:15" ht="13.5">
      <c r="A195" s="458"/>
      <c r="B195" s="485" t="s">
        <v>654</v>
      </c>
      <c r="C195" s="324"/>
      <c r="D195" s="445"/>
      <c r="E195" s="299">
        <v>0</v>
      </c>
      <c r="F195" s="27"/>
      <c r="G195" s="299">
        <v>0</v>
      </c>
      <c r="H195" s="445"/>
      <c r="I195" s="26">
        <f>K195-G195</f>
        <v>0</v>
      </c>
      <c r="J195" s="445"/>
      <c r="K195" s="314">
        <v>0</v>
      </c>
      <c r="L195" s="445"/>
      <c r="M195" s="316">
        <v>72000</v>
      </c>
      <c r="N195" s="445"/>
      <c r="O195" s="316">
        <f t="shared" si="39"/>
        <v>72000</v>
      </c>
    </row>
    <row r="196" spans="1:15" ht="13.5">
      <c r="A196" s="458" t="s">
        <v>848</v>
      </c>
      <c r="B196" s="485"/>
      <c r="C196" s="324"/>
      <c r="D196" s="445"/>
      <c r="E196" s="299"/>
      <c r="F196" s="27"/>
      <c r="G196" s="299"/>
      <c r="H196" s="445"/>
      <c r="I196" s="26"/>
      <c r="J196" s="445"/>
      <c r="K196" s="26"/>
      <c r="L196" s="445"/>
      <c r="M196" s="26"/>
      <c r="N196" s="445"/>
      <c r="O196" s="26"/>
    </row>
    <row r="197" spans="1:15" ht="13.5">
      <c r="A197" s="458" t="s">
        <v>578</v>
      </c>
      <c r="B197" s="485"/>
      <c r="C197" s="324"/>
      <c r="D197" s="445"/>
      <c r="E197" s="299"/>
      <c r="F197" s="27"/>
      <c r="G197" s="299"/>
      <c r="H197" s="445"/>
      <c r="I197" s="26"/>
      <c r="J197" s="445"/>
      <c r="K197" s="314"/>
      <c r="L197" s="445"/>
      <c r="M197" s="314"/>
      <c r="N197" s="445"/>
      <c r="O197" s="314"/>
    </row>
    <row r="198" spans="1:15" ht="13.5">
      <c r="A198" s="458"/>
      <c r="B198" s="485" t="s">
        <v>660</v>
      </c>
      <c r="C198" s="324" t="s">
        <v>126</v>
      </c>
      <c r="D198" s="445"/>
      <c r="E198" s="299">
        <v>25000</v>
      </c>
      <c r="F198" s="27"/>
      <c r="G198" s="299">
        <v>0</v>
      </c>
      <c r="H198" s="445"/>
      <c r="I198" s="26">
        <f>K198-G198</f>
        <v>40000</v>
      </c>
      <c r="J198" s="445"/>
      <c r="K198" s="314">
        <v>40000</v>
      </c>
      <c r="L198" s="445"/>
      <c r="M198" s="316">
        <v>100000</v>
      </c>
      <c r="N198" s="445"/>
      <c r="O198" s="316">
        <f>M198-K198</f>
        <v>60000</v>
      </c>
    </row>
    <row r="199" spans="1:15" ht="13.5">
      <c r="A199" s="458"/>
      <c r="B199" s="485" t="s">
        <v>825</v>
      </c>
      <c r="C199" s="324" t="s">
        <v>129</v>
      </c>
      <c r="D199" s="445"/>
      <c r="E199" s="299">
        <v>10000</v>
      </c>
      <c r="F199" s="27"/>
      <c r="G199" s="299">
        <v>0</v>
      </c>
      <c r="H199" s="445"/>
      <c r="I199" s="26">
        <f>K199-G199</f>
        <v>10000</v>
      </c>
      <c r="J199" s="445"/>
      <c r="K199" s="314">
        <v>10000</v>
      </c>
      <c r="L199" s="445"/>
      <c r="M199" s="316">
        <v>50000</v>
      </c>
      <c r="N199" s="445"/>
      <c r="O199" s="316">
        <f>M199-K199</f>
        <v>40000</v>
      </c>
    </row>
    <row r="200" spans="1:15" ht="13.5">
      <c r="A200" s="493"/>
      <c r="B200" s="494" t="s">
        <v>655</v>
      </c>
      <c r="C200" s="326" t="s">
        <v>148</v>
      </c>
      <c r="D200" s="450"/>
      <c r="E200" s="302"/>
      <c r="F200" s="60"/>
      <c r="G200" s="302"/>
      <c r="H200" s="450"/>
      <c r="I200" s="31"/>
      <c r="J200" s="450"/>
      <c r="K200" s="321"/>
      <c r="L200" s="450"/>
      <c r="M200" s="321"/>
      <c r="N200" s="445"/>
      <c r="O200" s="314"/>
    </row>
    <row r="201" spans="1:15" ht="13.5">
      <c r="A201" s="458"/>
      <c r="B201" s="485" t="s">
        <v>661</v>
      </c>
      <c r="C201" s="324"/>
      <c r="D201" s="445"/>
      <c r="E201" s="299">
        <v>25000</v>
      </c>
      <c r="F201" s="27"/>
      <c r="G201" s="299">
        <v>0</v>
      </c>
      <c r="H201" s="445"/>
      <c r="I201" s="26">
        <f>K201-G201</f>
        <v>25000</v>
      </c>
      <c r="J201" s="445"/>
      <c r="K201" s="314">
        <v>25000</v>
      </c>
      <c r="L201" s="445"/>
      <c r="M201" s="316">
        <v>25000</v>
      </c>
      <c r="N201" s="445"/>
      <c r="O201" s="316">
        <f t="shared" ref="O201:O203" si="41">M201-K201</f>
        <v>0</v>
      </c>
    </row>
    <row r="202" spans="1:15" ht="13.5">
      <c r="A202" s="458"/>
      <c r="B202" s="485" t="s">
        <v>826</v>
      </c>
      <c r="C202" s="324"/>
      <c r="D202" s="445"/>
      <c r="E202" s="299">
        <v>19095.97</v>
      </c>
      <c r="F202" s="27"/>
      <c r="G202" s="299">
        <v>0</v>
      </c>
      <c r="H202" s="445"/>
      <c r="I202" s="26">
        <f>K202-G202</f>
        <v>20000</v>
      </c>
      <c r="J202" s="445"/>
      <c r="K202" s="314">
        <v>20000</v>
      </c>
      <c r="L202" s="445"/>
      <c r="M202" s="316">
        <v>20000</v>
      </c>
      <c r="N202" s="445"/>
      <c r="O202" s="316">
        <f t="shared" si="41"/>
        <v>0</v>
      </c>
    </row>
    <row r="203" spans="1:15" ht="13.5">
      <c r="A203" s="458"/>
      <c r="B203" s="485" t="s">
        <v>654</v>
      </c>
      <c r="C203" s="324"/>
      <c r="D203" s="445"/>
      <c r="E203" s="299">
        <v>5000</v>
      </c>
      <c r="F203" s="27"/>
      <c r="G203" s="299">
        <v>0</v>
      </c>
      <c r="H203" s="445"/>
      <c r="I203" s="26">
        <f>K203-G203</f>
        <v>5000</v>
      </c>
      <c r="J203" s="445"/>
      <c r="K203" s="314">
        <v>5000</v>
      </c>
      <c r="L203" s="445"/>
      <c r="M203" s="316">
        <v>5000</v>
      </c>
      <c r="N203" s="445"/>
      <c r="O203" s="316">
        <f t="shared" si="41"/>
        <v>0</v>
      </c>
    </row>
    <row r="204" spans="1:15" ht="13.5">
      <c r="A204" s="458" t="s">
        <v>849</v>
      </c>
      <c r="B204" s="485"/>
      <c r="C204" s="324"/>
      <c r="D204" s="445"/>
      <c r="E204" s="299"/>
      <c r="F204" s="27"/>
      <c r="G204" s="299"/>
      <c r="H204" s="445"/>
      <c r="I204" s="26"/>
      <c r="J204" s="445"/>
      <c r="K204" s="26"/>
      <c r="L204" s="445"/>
      <c r="M204" s="26"/>
      <c r="N204" s="445"/>
      <c r="O204" s="26"/>
    </row>
    <row r="205" spans="1:15" ht="13.5">
      <c r="A205" s="458" t="s">
        <v>578</v>
      </c>
      <c r="B205" s="485"/>
      <c r="C205" s="324"/>
      <c r="D205" s="445"/>
      <c r="E205" s="299"/>
      <c r="F205" s="27"/>
      <c r="G205" s="299"/>
      <c r="H205" s="445"/>
      <c r="I205" s="26"/>
      <c r="J205" s="445"/>
      <c r="K205" s="314"/>
      <c r="L205" s="445"/>
      <c r="M205" s="314"/>
      <c r="N205" s="445"/>
      <c r="O205" s="314"/>
    </row>
    <row r="206" spans="1:15" ht="13.5">
      <c r="A206" s="458"/>
      <c r="B206" s="485" t="s">
        <v>825</v>
      </c>
      <c r="C206" s="324" t="s">
        <v>129</v>
      </c>
      <c r="D206" s="445"/>
      <c r="E206" s="299">
        <v>3050</v>
      </c>
      <c r="F206" s="27"/>
      <c r="G206" s="299">
        <v>0</v>
      </c>
      <c r="H206" s="445"/>
      <c r="I206" s="26">
        <f>K206-G206</f>
        <v>10000</v>
      </c>
      <c r="J206" s="445"/>
      <c r="K206" s="314">
        <v>10000</v>
      </c>
      <c r="L206" s="445"/>
      <c r="M206" s="316">
        <v>10000</v>
      </c>
      <c r="N206" s="445"/>
      <c r="O206" s="316">
        <f t="shared" ref="O206:O207" si="42">M206-K206</f>
        <v>0</v>
      </c>
    </row>
    <row r="207" spans="1:15" ht="13.5">
      <c r="A207" s="458"/>
      <c r="B207" s="485" t="s">
        <v>662</v>
      </c>
      <c r="C207" s="324" t="s">
        <v>174</v>
      </c>
      <c r="D207" s="445"/>
      <c r="E207" s="299">
        <v>13150</v>
      </c>
      <c r="F207" s="27"/>
      <c r="G207" s="299">
        <v>0</v>
      </c>
      <c r="H207" s="445"/>
      <c r="I207" s="26">
        <f>K207-G207</f>
        <v>70000</v>
      </c>
      <c r="J207" s="445"/>
      <c r="K207" s="314">
        <v>70000</v>
      </c>
      <c r="L207" s="445"/>
      <c r="M207" s="316">
        <v>70000</v>
      </c>
      <c r="N207" s="445"/>
      <c r="O207" s="316">
        <f t="shared" si="42"/>
        <v>0</v>
      </c>
    </row>
    <row r="208" spans="1:15" ht="13.5">
      <c r="A208" s="458"/>
      <c r="B208" s="485" t="s">
        <v>655</v>
      </c>
      <c r="C208" s="324" t="s">
        <v>148</v>
      </c>
      <c r="D208" s="445"/>
      <c r="E208" s="299"/>
      <c r="F208" s="27"/>
      <c r="G208" s="299"/>
      <c r="H208" s="445"/>
      <c r="I208" s="26"/>
      <c r="J208" s="445"/>
      <c r="K208" s="314"/>
      <c r="L208" s="445"/>
      <c r="M208" s="314"/>
      <c r="N208" s="445"/>
      <c r="O208" s="314"/>
    </row>
    <row r="209" spans="1:15" ht="13.5">
      <c r="A209" s="458"/>
      <c r="B209" s="485" t="s">
        <v>664</v>
      </c>
      <c r="C209" s="324"/>
      <c r="D209" s="445"/>
      <c r="E209" s="299">
        <v>10000</v>
      </c>
      <c r="F209" s="27"/>
      <c r="G209" s="299">
        <v>6000</v>
      </c>
      <c r="H209" s="445"/>
      <c r="I209" s="26">
        <f>K209-G209</f>
        <v>6000</v>
      </c>
      <c r="J209" s="445"/>
      <c r="K209" s="314">
        <v>12000</v>
      </c>
      <c r="L209" s="445"/>
      <c r="M209" s="316">
        <v>12000</v>
      </c>
      <c r="N209" s="445"/>
      <c r="O209" s="316">
        <f t="shared" ref="O209:O210" si="43">M209-K209</f>
        <v>0</v>
      </c>
    </row>
    <row r="210" spans="1:15" ht="13.5">
      <c r="A210" s="458"/>
      <c r="B210" s="485" t="s">
        <v>665</v>
      </c>
      <c r="C210" s="324"/>
      <c r="D210" s="445"/>
      <c r="E210" s="299">
        <v>0</v>
      </c>
      <c r="F210" s="27"/>
      <c r="G210" s="299">
        <v>0</v>
      </c>
      <c r="H210" s="445"/>
      <c r="I210" s="26">
        <f>K210-G210</f>
        <v>30000</v>
      </c>
      <c r="J210" s="445"/>
      <c r="K210" s="314">
        <v>30000</v>
      </c>
      <c r="L210" s="445"/>
      <c r="M210" s="316">
        <v>30000</v>
      </c>
      <c r="N210" s="445"/>
      <c r="O210" s="316">
        <f t="shared" si="43"/>
        <v>0</v>
      </c>
    </row>
    <row r="211" spans="1:15" ht="13.5">
      <c r="A211" s="458" t="s">
        <v>850</v>
      </c>
      <c r="B211" s="485"/>
      <c r="C211" s="324"/>
      <c r="D211" s="445"/>
      <c r="E211" s="299"/>
      <c r="F211" s="27"/>
      <c r="G211" s="299"/>
      <c r="H211" s="445"/>
      <c r="I211" s="26"/>
      <c r="J211" s="445"/>
      <c r="K211" s="26"/>
      <c r="L211" s="445"/>
      <c r="M211" s="26"/>
      <c r="N211" s="445"/>
      <c r="O211" s="26"/>
    </row>
    <row r="212" spans="1:15" ht="13.5">
      <c r="A212" s="458" t="s">
        <v>578</v>
      </c>
      <c r="B212" s="485"/>
      <c r="C212" s="324"/>
      <c r="D212" s="445"/>
      <c r="E212" s="299"/>
      <c r="F212" s="27"/>
      <c r="G212" s="299"/>
      <c r="H212" s="445"/>
      <c r="I212" s="26"/>
      <c r="J212" s="445"/>
      <c r="K212" s="314"/>
      <c r="L212" s="445"/>
      <c r="M212" s="314"/>
      <c r="N212" s="445"/>
      <c r="O212" s="314"/>
    </row>
    <row r="213" spans="1:15" ht="13.5">
      <c r="A213" s="458"/>
      <c r="B213" s="485" t="s">
        <v>663</v>
      </c>
      <c r="C213" s="324" t="s">
        <v>173</v>
      </c>
      <c r="D213" s="445"/>
      <c r="E213" s="299">
        <v>33750</v>
      </c>
      <c r="F213" s="27"/>
      <c r="G213" s="299">
        <v>7000</v>
      </c>
      <c r="H213" s="445"/>
      <c r="I213" s="26">
        <f>K213-G213</f>
        <v>43000</v>
      </c>
      <c r="J213" s="445"/>
      <c r="K213" s="314">
        <v>50000</v>
      </c>
      <c r="L213" s="445"/>
      <c r="M213" s="316">
        <v>150000</v>
      </c>
      <c r="N213" s="445"/>
      <c r="O213" s="316">
        <f t="shared" ref="O213:O214" si="44">M213-K213</f>
        <v>100000</v>
      </c>
    </row>
    <row r="214" spans="1:15" ht="13.5">
      <c r="A214" s="458"/>
      <c r="B214" s="485" t="s">
        <v>666</v>
      </c>
      <c r="C214" s="324" t="s">
        <v>653</v>
      </c>
      <c r="D214" s="445"/>
      <c r="E214" s="299">
        <v>0</v>
      </c>
      <c r="F214" s="27"/>
      <c r="G214" s="299">
        <v>0</v>
      </c>
      <c r="H214" s="445"/>
      <c r="I214" s="26">
        <f>K214-G214</f>
        <v>50000</v>
      </c>
      <c r="J214" s="445"/>
      <c r="K214" s="314">
        <v>50000</v>
      </c>
      <c r="L214" s="445"/>
      <c r="M214" s="316">
        <v>100000</v>
      </c>
      <c r="N214" s="445"/>
      <c r="O214" s="316">
        <f t="shared" si="44"/>
        <v>50000</v>
      </c>
    </row>
    <row r="215" spans="1:15" ht="13.5">
      <c r="A215" s="458" t="s">
        <v>851</v>
      </c>
      <c r="B215" s="485"/>
      <c r="C215" s="324"/>
      <c r="D215" s="445"/>
      <c r="E215" s="299"/>
      <c r="F215" s="27"/>
      <c r="G215" s="299"/>
      <c r="H215" s="445"/>
      <c r="I215" s="26"/>
      <c r="J215" s="445"/>
      <c r="K215" s="26"/>
      <c r="L215" s="445"/>
      <c r="M215" s="26"/>
      <c r="N215" s="445"/>
      <c r="O215" s="26"/>
    </row>
    <row r="216" spans="1:15" ht="13.5">
      <c r="A216" s="458" t="s">
        <v>578</v>
      </c>
      <c r="B216" s="485"/>
      <c r="C216" s="324"/>
      <c r="D216" s="445"/>
      <c r="E216" s="299"/>
      <c r="F216" s="27"/>
      <c r="G216" s="299"/>
      <c r="H216" s="445"/>
      <c r="I216" s="26"/>
      <c r="J216" s="445"/>
      <c r="K216" s="314"/>
      <c r="L216" s="445"/>
      <c r="M216" s="314"/>
      <c r="N216" s="445"/>
      <c r="O216" s="314"/>
    </row>
    <row r="217" spans="1:15" ht="13.5">
      <c r="A217" s="458"/>
      <c r="B217" s="485" t="s">
        <v>667</v>
      </c>
      <c r="C217" s="324" t="s">
        <v>127</v>
      </c>
      <c r="D217" s="445"/>
      <c r="E217" s="299">
        <v>0</v>
      </c>
      <c r="F217" s="27"/>
      <c r="G217" s="299">
        <v>0</v>
      </c>
      <c r="H217" s="445"/>
      <c r="I217" s="26">
        <f t="shared" ref="I217:I225" si="45">K217-G217</f>
        <v>20000</v>
      </c>
      <c r="J217" s="445"/>
      <c r="K217" s="314">
        <v>20000</v>
      </c>
      <c r="L217" s="445"/>
      <c r="M217" s="316">
        <v>20000</v>
      </c>
      <c r="N217" s="445"/>
      <c r="O217" s="316">
        <f t="shared" ref="O217:O221" si="46">M217-K217</f>
        <v>0</v>
      </c>
    </row>
    <row r="218" spans="1:15" ht="13.5">
      <c r="A218" s="458"/>
      <c r="B218" s="485" t="s">
        <v>825</v>
      </c>
      <c r="C218" s="324" t="s">
        <v>129</v>
      </c>
      <c r="D218" s="445"/>
      <c r="E218" s="299">
        <v>0</v>
      </c>
      <c r="F218" s="27"/>
      <c r="G218" s="299">
        <v>2036.4</v>
      </c>
      <c r="H218" s="445"/>
      <c r="I218" s="26">
        <f t="shared" si="45"/>
        <v>7963.6</v>
      </c>
      <c r="J218" s="445"/>
      <c r="K218" s="314">
        <v>10000</v>
      </c>
      <c r="L218" s="445"/>
      <c r="M218" s="316">
        <v>10000</v>
      </c>
      <c r="N218" s="445"/>
      <c r="O218" s="316">
        <f t="shared" si="46"/>
        <v>0</v>
      </c>
    </row>
    <row r="219" spans="1:15" ht="13.5">
      <c r="A219" s="458"/>
      <c r="B219" s="485" t="s">
        <v>662</v>
      </c>
      <c r="C219" s="324" t="s">
        <v>174</v>
      </c>
      <c r="D219" s="445"/>
      <c r="E219" s="299">
        <v>3370</v>
      </c>
      <c r="F219" s="27"/>
      <c r="G219" s="299">
        <v>0</v>
      </c>
      <c r="H219" s="445"/>
      <c r="I219" s="26">
        <f t="shared" si="45"/>
        <v>5000</v>
      </c>
      <c r="J219" s="445"/>
      <c r="K219" s="314">
        <v>5000</v>
      </c>
      <c r="L219" s="445"/>
      <c r="M219" s="316">
        <v>5000</v>
      </c>
      <c r="N219" s="445"/>
      <c r="O219" s="316">
        <f t="shared" si="46"/>
        <v>0</v>
      </c>
    </row>
    <row r="220" spans="1:15" ht="13.5">
      <c r="A220" s="458"/>
      <c r="B220" s="485" t="s">
        <v>663</v>
      </c>
      <c r="C220" s="324" t="s">
        <v>173</v>
      </c>
      <c r="D220" s="445"/>
      <c r="E220" s="299">
        <v>0</v>
      </c>
      <c r="F220" s="27"/>
      <c r="G220" s="299">
        <v>0</v>
      </c>
      <c r="H220" s="445"/>
      <c r="I220" s="26">
        <f>K220-G220</f>
        <v>50000</v>
      </c>
      <c r="J220" s="445"/>
      <c r="K220" s="314">
        <v>50000</v>
      </c>
      <c r="L220" s="445"/>
      <c r="M220" s="316">
        <v>50000</v>
      </c>
      <c r="N220" s="445"/>
      <c r="O220" s="316">
        <f t="shared" si="46"/>
        <v>0</v>
      </c>
    </row>
    <row r="221" spans="1:15" ht="13.5">
      <c r="A221" s="458"/>
      <c r="B221" s="485" t="s">
        <v>138</v>
      </c>
      <c r="C221" s="324" t="s">
        <v>137</v>
      </c>
      <c r="D221" s="445"/>
      <c r="E221" s="299">
        <v>0</v>
      </c>
      <c r="F221" s="27"/>
      <c r="G221" s="299">
        <v>0</v>
      </c>
      <c r="H221" s="445"/>
      <c r="I221" s="26">
        <f t="shared" si="45"/>
        <v>20000</v>
      </c>
      <c r="J221" s="445"/>
      <c r="K221" s="314">
        <v>20000</v>
      </c>
      <c r="L221" s="445"/>
      <c r="M221" s="316">
        <v>20000</v>
      </c>
      <c r="N221" s="445"/>
      <c r="O221" s="316">
        <f t="shared" si="46"/>
        <v>0</v>
      </c>
    </row>
    <row r="222" spans="1:15" ht="13.5">
      <c r="A222" s="458"/>
      <c r="B222" s="485" t="s">
        <v>655</v>
      </c>
      <c r="C222" s="324" t="s">
        <v>148</v>
      </c>
      <c r="D222" s="445"/>
      <c r="E222" s="299"/>
      <c r="F222" s="27"/>
      <c r="G222" s="299"/>
      <c r="H222" s="445"/>
      <c r="I222" s="26"/>
      <c r="J222" s="445"/>
      <c r="K222" s="314"/>
      <c r="L222" s="445"/>
      <c r="M222" s="314"/>
      <c r="N222" s="445"/>
      <c r="O222" s="314"/>
    </row>
    <row r="223" spans="1:15" ht="13.5">
      <c r="A223" s="458"/>
      <c r="B223" s="485" t="s">
        <v>668</v>
      </c>
      <c r="C223" s="324"/>
      <c r="D223" s="445"/>
      <c r="E223" s="299">
        <v>0</v>
      </c>
      <c r="F223" s="27"/>
      <c r="G223" s="299">
        <v>0</v>
      </c>
      <c r="H223" s="445"/>
      <c r="I223" s="26">
        <f t="shared" si="45"/>
        <v>15000</v>
      </c>
      <c r="J223" s="445"/>
      <c r="K223" s="314">
        <v>15000</v>
      </c>
      <c r="L223" s="445"/>
      <c r="M223" s="316">
        <v>15000</v>
      </c>
      <c r="N223" s="445"/>
      <c r="O223" s="316">
        <f>M223-K223</f>
        <v>0</v>
      </c>
    </row>
    <row r="224" spans="1:15" ht="13.5">
      <c r="A224" s="458"/>
      <c r="B224" s="485" t="s">
        <v>664</v>
      </c>
      <c r="C224" s="324"/>
      <c r="D224" s="445"/>
      <c r="E224" s="299">
        <v>0</v>
      </c>
      <c r="F224" s="27"/>
      <c r="G224" s="299">
        <v>0</v>
      </c>
      <c r="H224" s="445"/>
      <c r="I224" s="26">
        <f t="shared" si="45"/>
        <v>5000</v>
      </c>
      <c r="J224" s="445"/>
      <c r="K224" s="314">
        <v>5000</v>
      </c>
      <c r="L224" s="445"/>
      <c r="M224" s="316">
        <v>5000</v>
      </c>
      <c r="N224" s="445"/>
      <c r="O224" s="316">
        <f t="shared" ref="O224:O225" si="47">M224-K224</f>
        <v>0</v>
      </c>
    </row>
    <row r="225" spans="1:15" ht="13.5">
      <c r="A225" s="458"/>
      <c r="B225" s="485" t="s">
        <v>669</v>
      </c>
      <c r="C225" s="324"/>
      <c r="D225" s="445"/>
      <c r="E225" s="299">
        <v>0</v>
      </c>
      <c r="F225" s="27"/>
      <c r="G225" s="299">
        <v>0</v>
      </c>
      <c r="H225" s="445"/>
      <c r="I225" s="26">
        <f t="shared" si="45"/>
        <v>20000</v>
      </c>
      <c r="J225" s="445"/>
      <c r="K225" s="314">
        <v>20000</v>
      </c>
      <c r="L225" s="445"/>
      <c r="M225" s="316">
        <v>20000</v>
      </c>
      <c r="N225" s="445"/>
      <c r="O225" s="316">
        <f t="shared" si="47"/>
        <v>0</v>
      </c>
    </row>
    <row r="226" spans="1:15" ht="13.5">
      <c r="A226" s="458" t="s">
        <v>852</v>
      </c>
      <c r="B226" s="485"/>
      <c r="C226" s="324"/>
      <c r="D226" s="445"/>
      <c r="E226" s="299"/>
      <c r="F226" s="27"/>
      <c r="G226" s="299"/>
      <c r="H226" s="445"/>
      <c r="I226" s="26"/>
      <c r="J226" s="445"/>
      <c r="K226" s="26"/>
      <c r="L226" s="445"/>
      <c r="M226" s="26"/>
      <c r="N226" s="445"/>
      <c r="O226" s="26">
        <v>0</v>
      </c>
    </row>
    <row r="227" spans="1:15" ht="13.5">
      <c r="A227" s="458" t="s">
        <v>578</v>
      </c>
      <c r="B227" s="485"/>
      <c r="C227" s="324"/>
      <c r="D227" s="445"/>
      <c r="E227" s="299"/>
      <c r="F227" s="27"/>
      <c r="G227" s="299"/>
      <c r="H227" s="445"/>
      <c r="I227" s="26"/>
      <c r="J227" s="445"/>
      <c r="K227" s="314"/>
      <c r="L227" s="445"/>
      <c r="M227" s="314"/>
      <c r="N227" s="445"/>
      <c r="O227" s="314"/>
    </row>
    <row r="228" spans="1:15" ht="13.5">
      <c r="A228" s="458"/>
      <c r="B228" s="485" t="s">
        <v>667</v>
      </c>
      <c r="C228" s="324" t="s">
        <v>127</v>
      </c>
      <c r="D228" s="445"/>
      <c r="E228" s="299">
        <v>0</v>
      </c>
      <c r="F228" s="27"/>
      <c r="G228" s="299">
        <v>0</v>
      </c>
      <c r="H228" s="445"/>
      <c r="I228" s="26">
        <f>K228-G228</f>
        <v>10000</v>
      </c>
      <c r="J228" s="445"/>
      <c r="K228" s="314">
        <v>10000</v>
      </c>
      <c r="L228" s="445"/>
      <c r="M228" s="316">
        <v>20000</v>
      </c>
      <c r="N228" s="445"/>
      <c r="O228" s="316">
        <f t="shared" ref="O228:O232" si="48">M228-K228</f>
        <v>10000</v>
      </c>
    </row>
    <row r="229" spans="1:15" ht="13.5">
      <c r="A229" s="458"/>
      <c r="B229" s="485" t="s">
        <v>656</v>
      </c>
      <c r="C229" s="324" t="s">
        <v>128</v>
      </c>
      <c r="D229" s="445"/>
      <c r="E229" s="299">
        <v>0</v>
      </c>
      <c r="F229" s="27"/>
      <c r="G229" s="299">
        <v>0</v>
      </c>
      <c r="H229" s="445"/>
      <c r="I229" s="26">
        <f>K229-G229</f>
        <v>5000</v>
      </c>
      <c r="J229" s="445"/>
      <c r="K229" s="314">
        <v>5000</v>
      </c>
      <c r="L229" s="445"/>
      <c r="M229" s="316">
        <v>10000</v>
      </c>
      <c r="N229" s="445"/>
      <c r="O229" s="316">
        <f t="shared" si="48"/>
        <v>5000</v>
      </c>
    </row>
    <row r="230" spans="1:15" ht="13.5">
      <c r="A230" s="458"/>
      <c r="B230" s="485" t="s">
        <v>824</v>
      </c>
      <c r="C230" s="324" t="s">
        <v>129</v>
      </c>
      <c r="D230" s="445"/>
      <c r="E230" s="299">
        <v>0</v>
      </c>
      <c r="F230" s="27"/>
      <c r="G230" s="299">
        <v>2206.1</v>
      </c>
      <c r="H230" s="445"/>
      <c r="I230" s="26">
        <f>K230-G230</f>
        <v>7793.9</v>
      </c>
      <c r="J230" s="445"/>
      <c r="K230" s="314">
        <v>10000</v>
      </c>
      <c r="L230" s="445"/>
      <c r="M230" s="316">
        <v>20000</v>
      </c>
      <c r="N230" s="445"/>
      <c r="O230" s="316">
        <f t="shared" si="48"/>
        <v>10000</v>
      </c>
    </row>
    <row r="231" spans="1:15" ht="13.5">
      <c r="A231" s="458"/>
      <c r="B231" s="485" t="s">
        <v>662</v>
      </c>
      <c r="C231" s="324" t="s">
        <v>174</v>
      </c>
      <c r="D231" s="445"/>
      <c r="E231" s="299">
        <v>6240</v>
      </c>
      <c r="F231" s="27"/>
      <c r="G231" s="299">
        <v>0</v>
      </c>
      <c r="H231" s="445"/>
      <c r="I231" s="26">
        <f>K231-G231</f>
        <v>25000</v>
      </c>
      <c r="J231" s="445"/>
      <c r="K231" s="314">
        <v>25000</v>
      </c>
      <c r="L231" s="445"/>
      <c r="M231" s="316">
        <v>50000</v>
      </c>
      <c r="N231" s="445"/>
      <c r="O231" s="316">
        <f t="shared" si="48"/>
        <v>25000</v>
      </c>
    </row>
    <row r="232" spans="1:15" ht="13.5">
      <c r="A232" s="458"/>
      <c r="B232" s="485" t="s">
        <v>675</v>
      </c>
      <c r="C232" s="324" t="s">
        <v>137</v>
      </c>
      <c r="D232" s="445"/>
      <c r="E232" s="299">
        <v>0</v>
      </c>
      <c r="F232" s="27"/>
      <c r="G232" s="299">
        <v>0</v>
      </c>
      <c r="H232" s="445"/>
      <c r="I232" s="26">
        <f>K232-G232</f>
        <v>10000</v>
      </c>
      <c r="J232" s="445"/>
      <c r="K232" s="314">
        <v>10000</v>
      </c>
      <c r="L232" s="445"/>
      <c r="M232" s="316">
        <v>20000</v>
      </c>
      <c r="N232" s="445"/>
      <c r="O232" s="316">
        <f t="shared" si="48"/>
        <v>10000</v>
      </c>
    </row>
    <row r="233" spans="1:15" ht="13.5">
      <c r="A233" s="458"/>
      <c r="B233" s="485" t="s">
        <v>655</v>
      </c>
      <c r="C233" s="324" t="s">
        <v>148</v>
      </c>
      <c r="D233" s="445"/>
      <c r="E233" s="299"/>
      <c r="F233" s="27"/>
      <c r="G233" s="299"/>
      <c r="H233" s="445"/>
      <c r="I233" s="26"/>
      <c r="J233" s="445"/>
      <c r="K233" s="314"/>
      <c r="L233" s="445"/>
      <c r="M233" s="314"/>
      <c r="N233" s="445"/>
      <c r="O233" s="314"/>
    </row>
    <row r="234" spans="1:15" ht="13.5">
      <c r="A234" s="458"/>
      <c r="B234" s="485" t="s">
        <v>827</v>
      </c>
      <c r="C234" s="324"/>
      <c r="D234" s="445"/>
      <c r="E234" s="299">
        <v>0</v>
      </c>
      <c r="F234" s="27"/>
      <c r="G234" s="299">
        <v>0</v>
      </c>
      <c r="H234" s="445"/>
      <c r="I234" s="26">
        <f>K234-G234</f>
        <v>55000</v>
      </c>
      <c r="J234" s="445"/>
      <c r="K234" s="314">
        <v>55000</v>
      </c>
      <c r="L234" s="445"/>
      <c r="M234" s="316">
        <v>110000</v>
      </c>
      <c r="N234" s="445"/>
      <c r="O234" s="316">
        <f t="shared" ref="O234:O235" si="49">M234-K234</f>
        <v>55000</v>
      </c>
    </row>
    <row r="235" spans="1:15" ht="13.5">
      <c r="A235" s="458"/>
      <c r="B235" s="485" t="s">
        <v>654</v>
      </c>
      <c r="C235" s="324"/>
      <c r="D235" s="445"/>
      <c r="E235" s="299">
        <v>0</v>
      </c>
      <c r="F235" s="27"/>
      <c r="G235" s="299">
        <v>0</v>
      </c>
      <c r="H235" s="445"/>
      <c r="I235" s="26">
        <f>K235-G235</f>
        <v>5000</v>
      </c>
      <c r="J235" s="445"/>
      <c r="K235" s="314">
        <v>5000</v>
      </c>
      <c r="L235" s="445"/>
      <c r="M235" s="316">
        <v>10000</v>
      </c>
      <c r="N235" s="445"/>
      <c r="O235" s="316">
        <f t="shared" si="49"/>
        <v>5000</v>
      </c>
    </row>
    <row r="236" spans="1:15" ht="13.5">
      <c r="A236" s="458" t="s">
        <v>853</v>
      </c>
      <c r="B236" s="485"/>
      <c r="C236" s="324"/>
      <c r="D236" s="445"/>
      <c r="E236" s="299"/>
      <c r="F236" s="27"/>
      <c r="G236" s="299"/>
      <c r="H236" s="445"/>
      <c r="I236" s="26"/>
      <c r="J236" s="445"/>
      <c r="K236" s="26"/>
      <c r="L236" s="445"/>
      <c r="M236" s="26"/>
      <c r="N236" s="445"/>
      <c r="O236" s="26"/>
    </row>
    <row r="237" spans="1:15" ht="13.5">
      <c r="A237" s="458" t="s">
        <v>578</v>
      </c>
      <c r="B237" s="485"/>
      <c r="C237" s="324"/>
      <c r="D237" s="445"/>
      <c r="E237" s="299"/>
      <c r="F237" s="27"/>
      <c r="G237" s="299"/>
      <c r="H237" s="445"/>
      <c r="I237" s="26"/>
      <c r="J237" s="445"/>
      <c r="K237" s="314"/>
      <c r="L237" s="445"/>
      <c r="M237" s="314"/>
      <c r="N237" s="445"/>
      <c r="O237" s="314"/>
    </row>
    <row r="238" spans="1:15" ht="13.5">
      <c r="A238" s="458"/>
      <c r="B238" s="485" t="s">
        <v>655</v>
      </c>
      <c r="C238" s="324" t="s">
        <v>148</v>
      </c>
      <c r="D238" s="445"/>
      <c r="E238" s="299"/>
      <c r="F238" s="27"/>
      <c r="G238" s="299"/>
      <c r="H238" s="445"/>
      <c r="I238" s="26"/>
      <c r="J238" s="445"/>
      <c r="K238" s="314"/>
      <c r="L238" s="445"/>
      <c r="M238" s="314"/>
      <c r="N238" s="445"/>
      <c r="O238" s="314"/>
    </row>
    <row r="239" spans="1:15" ht="13.5">
      <c r="A239" s="458"/>
      <c r="B239" s="485" t="s">
        <v>612</v>
      </c>
      <c r="C239" s="324"/>
      <c r="D239" s="445"/>
      <c r="E239" s="299">
        <v>120000</v>
      </c>
      <c r="F239" s="27"/>
      <c r="G239" s="299">
        <v>3000</v>
      </c>
      <c r="H239" s="445"/>
      <c r="I239" s="26">
        <f>K239-G239</f>
        <v>165000</v>
      </c>
      <c r="J239" s="445"/>
      <c r="K239" s="314">
        <v>168000</v>
      </c>
      <c r="L239" s="445"/>
      <c r="M239" s="316">
        <v>168000</v>
      </c>
      <c r="N239" s="445"/>
      <c r="O239" s="316">
        <f t="shared" ref="O239:O241" si="50">M239-K239</f>
        <v>0</v>
      </c>
    </row>
    <row r="240" spans="1:15" ht="13.5">
      <c r="A240" s="458"/>
      <c r="B240" s="485" t="s">
        <v>828</v>
      </c>
      <c r="C240" s="324"/>
      <c r="D240" s="445"/>
      <c r="E240" s="299">
        <v>24300</v>
      </c>
      <c r="F240" s="27"/>
      <c r="G240" s="299">
        <v>13500</v>
      </c>
      <c r="H240" s="445"/>
      <c r="I240" s="26">
        <f>K240-G240</f>
        <v>22500</v>
      </c>
      <c r="J240" s="445"/>
      <c r="K240" s="314">
        <v>36000</v>
      </c>
      <c r="L240" s="445"/>
      <c r="M240" s="316">
        <v>36000</v>
      </c>
      <c r="N240" s="445"/>
      <c r="O240" s="316">
        <f t="shared" si="50"/>
        <v>0</v>
      </c>
    </row>
    <row r="241" spans="1:16" ht="13.5">
      <c r="A241" s="458"/>
      <c r="B241" s="485" t="s">
        <v>829</v>
      </c>
      <c r="C241" s="324"/>
      <c r="D241" s="445"/>
      <c r="E241" s="299">
        <v>15575</v>
      </c>
      <c r="F241" s="27"/>
      <c r="G241" s="299">
        <v>0</v>
      </c>
      <c r="H241" s="445"/>
      <c r="I241" s="26">
        <f>K241-G241</f>
        <v>30000</v>
      </c>
      <c r="J241" s="445"/>
      <c r="K241" s="314">
        <v>30000</v>
      </c>
      <c r="L241" s="445"/>
      <c r="M241" s="316">
        <v>30000</v>
      </c>
      <c r="N241" s="445"/>
      <c r="O241" s="316">
        <f t="shared" si="50"/>
        <v>0</v>
      </c>
    </row>
    <row r="242" spans="1:16" ht="13.5">
      <c r="A242" s="458" t="s">
        <v>854</v>
      </c>
      <c r="B242" s="485"/>
      <c r="C242" s="324"/>
      <c r="D242" s="445"/>
      <c r="E242" s="299"/>
      <c r="F242" s="27"/>
      <c r="G242" s="299"/>
      <c r="H242" s="445"/>
      <c r="I242" s="26"/>
      <c r="J242" s="445"/>
      <c r="K242" s="314"/>
      <c r="L242" s="445"/>
      <c r="M242" s="314"/>
      <c r="N242" s="445"/>
      <c r="O242" s="314"/>
    </row>
    <row r="243" spans="1:16" ht="13.5">
      <c r="A243" s="458" t="s">
        <v>633</v>
      </c>
      <c r="B243" s="485" t="s">
        <v>706</v>
      </c>
      <c r="C243" s="324"/>
      <c r="D243" s="445"/>
      <c r="E243" s="299"/>
      <c r="F243" s="27"/>
      <c r="G243" s="299"/>
      <c r="H243" s="445"/>
      <c r="I243" s="26"/>
      <c r="J243" s="445"/>
      <c r="K243" s="314"/>
      <c r="L243" s="445"/>
      <c r="M243" s="314"/>
      <c r="N243" s="445"/>
      <c r="O243" s="314"/>
    </row>
    <row r="244" spans="1:16" ht="13.5">
      <c r="A244" s="458"/>
      <c r="B244" s="485" t="s">
        <v>634</v>
      </c>
      <c r="C244" s="324" t="s">
        <v>127</v>
      </c>
      <c r="D244" s="445"/>
      <c r="E244" s="299">
        <v>7994</v>
      </c>
      <c r="F244" s="27"/>
      <c r="G244" s="299">
        <v>2404</v>
      </c>
      <c r="H244" s="445"/>
      <c r="I244" s="26">
        <f>K244-G244</f>
        <v>29596</v>
      </c>
      <c r="J244" s="445"/>
      <c r="K244" s="314">
        <v>32000</v>
      </c>
      <c r="L244" s="445"/>
      <c r="M244" s="316">
        <v>52000</v>
      </c>
      <c r="N244" s="445"/>
      <c r="O244" s="316">
        <f t="shared" ref="O244:O247" si="51">M244-K244</f>
        <v>20000</v>
      </c>
    </row>
    <row r="245" spans="1:16" ht="13.5">
      <c r="A245" s="458"/>
      <c r="B245" s="485" t="s">
        <v>635</v>
      </c>
      <c r="C245" s="324" t="s">
        <v>128</v>
      </c>
      <c r="D245" s="445"/>
      <c r="E245" s="299">
        <v>21456</v>
      </c>
      <c r="F245" s="27"/>
      <c r="G245" s="299">
        <v>7192</v>
      </c>
      <c r="H245" s="445"/>
      <c r="I245" s="26">
        <f>K245-G245</f>
        <v>24808</v>
      </c>
      <c r="J245" s="445"/>
      <c r="K245" s="314">
        <v>32000</v>
      </c>
      <c r="L245" s="445"/>
      <c r="M245" s="316">
        <v>32000</v>
      </c>
      <c r="N245" s="445"/>
      <c r="O245" s="316">
        <f t="shared" si="51"/>
        <v>0</v>
      </c>
    </row>
    <row r="246" spans="1:16" ht="13.5">
      <c r="A246" s="458"/>
      <c r="B246" s="485" t="s">
        <v>830</v>
      </c>
      <c r="C246" s="324" t="s">
        <v>129</v>
      </c>
      <c r="D246" s="445"/>
      <c r="E246" s="299">
        <v>0</v>
      </c>
      <c r="F246" s="27"/>
      <c r="G246" s="299">
        <v>4500</v>
      </c>
      <c r="H246" s="445"/>
      <c r="I246" s="26">
        <f>K246-G246</f>
        <v>5500</v>
      </c>
      <c r="J246" s="445"/>
      <c r="K246" s="314">
        <v>10000</v>
      </c>
      <c r="L246" s="445"/>
      <c r="M246" s="316">
        <v>35000</v>
      </c>
      <c r="N246" s="445"/>
      <c r="O246" s="316">
        <f t="shared" si="51"/>
        <v>25000</v>
      </c>
    </row>
    <row r="247" spans="1:16" ht="13.5">
      <c r="A247" s="458"/>
      <c r="B247" s="485" t="s">
        <v>705</v>
      </c>
      <c r="C247" s="324" t="s">
        <v>134</v>
      </c>
      <c r="D247" s="445"/>
      <c r="E247" s="299">
        <v>16119</v>
      </c>
      <c r="F247" s="27"/>
      <c r="G247" s="299">
        <v>9500.36</v>
      </c>
      <c r="H247" s="445"/>
      <c r="I247" s="26">
        <f>K247-G247</f>
        <v>26499.64</v>
      </c>
      <c r="J247" s="445"/>
      <c r="K247" s="314">
        <v>36000</v>
      </c>
      <c r="L247" s="445"/>
      <c r="M247" s="316">
        <v>36000</v>
      </c>
      <c r="N247" s="445"/>
      <c r="O247" s="316">
        <f t="shared" si="51"/>
        <v>0</v>
      </c>
    </row>
    <row r="248" spans="1:16" ht="13.5">
      <c r="A248" s="493"/>
      <c r="B248" s="494" t="s">
        <v>636</v>
      </c>
      <c r="C248" s="326" t="s">
        <v>148</v>
      </c>
      <c r="D248" s="450"/>
      <c r="E248" s="302"/>
      <c r="F248" s="60"/>
      <c r="G248" s="302"/>
      <c r="H248" s="450"/>
      <c r="I248" s="31"/>
      <c r="J248" s="450"/>
      <c r="K248" s="321"/>
      <c r="L248" s="450"/>
      <c r="M248" s="321"/>
      <c r="N248" s="445"/>
      <c r="O248" s="314"/>
    </row>
    <row r="249" spans="1:16" ht="13.5">
      <c r="A249" s="458"/>
      <c r="B249" s="485" t="s">
        <v>637</v>
      </c>
      <c r="C249" s="324"/>
      <c r="D249" s="445"/>
      <c r="E249" s="299">
        <v>73144</v>
      </c>
      <c r="F249" s="27"/>
      <c r="G249" s="299">
        <v>36516</v>
      </c>
      <c r="H249" s="445"/>
      <c r="I249" s="26">
        <f>K249-G249</f>
        <v>58484</v>
      </c>
      <c r="J249" s="445"/>
      <c r="K249" s="314">
        <v>95000</v>
      </c>
      <c r="L249" s="445"/>
      <c r="M249" s="316">
        <v>95000</v>
      </c>
      <c r="N249" s="445"/>
      <c r="O249" s="316">
        <f>M249-K249</f>
        <v>0</v>
      </c>
    </row>
    <row r="250" spans="1:16" ht="13.5">
      <c r="A250" s="458" t="s">
        <v>855</v>
      </c>
      <c r="B250" s="485"/>
      <c r="C250" s="324"/>
      <c r="D250" s="445"/>
      <c r="E250" s="299"/>
      <c r="F250" s="27"/>
      <c r="G250" s="299"/>
      <c r="H250" s="445"/>
      <c r="I250" s="26"/>
      <c r="J250" s="445"/>
      <c r="K250" s="314"/>
      <c r="L250" s="445"/>
      <c r="M250" s="314"/>
      <c r="N250" s="445"/>
      <c r="O250" s="314"/>
    </row>
    <row r="251" spans="1:16" ht="13.5">
      <c r="A251" s="458" t="s">
        <v>633</v>
      </c>
      <c r="B251" s="485" t="s">
        <v>831</v>
      </c>
      <c r="C251" s="324"/>
      <c r="D251" s="445"/>
      <c r="E251" s="299"/>
      <c r="F251" s="27"/>
      <c r="G251" s="299"/>
      <c r="H251" s="445"/>
      <c r="I251" s="26"/>
      <c r="J251" s="445"/>
      <c r="K251" s="314"/>
      <c r="L251" s="445"/>
      <c r="M251" s="314"/>
      <c r="N251" s="445"/>
      <c r="O251" s="314"/>
    </row>
    <row r="252" spans="1:16" ht="13.5">
      <c r="A252" s="458"/>
      <c r="B252" s="485" t="s">
        <v>830</v>
      </c>
      <c r="C252" s="324" t="s">
        <v>129</v>
      </c>
      <c r="D252" s="445"/>
      <c r="E252" s="299">
        <v>0</v>
      </c>
      <c r="F252" s="27"/>
      <c r="G252" s="299">
        <v>45115.9</v>
      </c>
      <c r="H252" s="445"/>
      <c r="I252" s="26">
        <f>K252-G252</f>
        <v>154884.1</v>
      </c>
      <c r="J252" s="445"/>
      <c r="K252" s="314">
        <v>200000</v>
      </c>
      <c r="L252" s="445"/>
      <c r="M252" s="316">
        <v>200000</v>
      </c>
      <c r="N252" s="445"/>
      <c r="O252" s="316">
        <f t="shared" ref="O252:O253" si="52">M252-K252</f>
        <v>0</v>
      </c>
      <c r="P252" s="929" t="s">
        <v>11</v>
      </c>
    </row>
    <row r="253" spans="1:16" ht="13.5">
      <c r="A253" s="458"/>
      <c r="B253" s="485" t="s">
        <v>832</v>
      </c>
      <c r="C253" s="324" t="s">
        <v>174</v>
      </c>
      <c r="D253" s="445"/>
      <c r="E253" s="299">
        <v>33699.75</v>
      </c>
      <c r="F253" s="27"/>
      <c r="G253" s="299">
        <v>806</v>
      </c>
      <c r="H253" s="445"/>
      <c r="I253" s="26">
        <f>K253-G253</f>
        <v>149194</v>
      </c>
      <c r="J253" s="445"/>
      <c r="K253" s="314">
        <v>150000</v>
      </c>
      <c r="L253" s="445"/>
      <c r="M253" s="316">
        <v>150000</v>
      </c>
      <c r="N253" s="445"/>
      <c r="O253" s="316">
        <f t="shared" si="52"/>
        <v>0</v>
      </c>
    </row>
    <row r="254" spans="1:16" ht="13.5">
      <c r="A254" s="458"/>
      <c r="B254" s="485" t="s">
        <v>636</v>
      </c>
      <c r="C254" s="324" t="s">
        <v>148</v>
      </c>
      <c r="D254" s="445"/>
      <c r="E254" s="299"/>
      <c r="F254" s="27"/>
      <c r="G254" s="299"/>
      <c r="H254" s="445"/>
      <c r="I254" s="26"/>
      <c r="J254" s="445"/>
      <c r="K254" s="314"/>
      <c r="L254" s="445"/>
      <c r="M254" s="314"/>
      <c r="N254" s="445"/>
      <c r="O254" s="314"/>
    </row>
    <row r="255" spans="1:16" ht="13.5">
      <c r="A255" s="458"/>
      <c r="B255" s="485" t="s">
        <v>834</v>
      </c>
      <c r="C255" s="324"/>
      <c r="D255" s="445"/>
      <c r="E255" s="299">
        <v>68000</v>
      </c>
      <c r="F255" s="27"/>
      <c r="G255" s="299">
        <v>0</v>
      </c>
      <c r="H255" s="445"/>
      <c r="I255" s="26">
        <f>K255-G255</f>
        <v>100000</v>
      </c>
      <c r="J255" s="445"/>
      <c r="K255" s="314">
        <v>100000</v>
      </c>
      <c r="L255" s="445"/>
      <c r="M255" s="316">
        <v>100000</v>
      </c>
      <c r="N255" s="445"/>
      <c r="O255" s="316">
        <f t="shared" ref="O255:O256" si="53">M255-K255</f>
        <v>0</v>
      </c>
    </row>
    <row r="256" spans="1:16" ht="13.5">
      <c r="A256" s="458"/>
      <c r="B256" s="485" t="s">
        <v>833</v>
      </c>
      <c r="C256" s="324"/>
      <c r="D256" s="445"/>
      <c r="E256" s="299">
        <v>95903</v>
      </c>
      <c r="F256" s="27"/>
      <c r="G256" s="299">
        <v>1840</v>
      </c>
      <c r="H256" s="445"/>
      <c r="I256" s="26">
        <f>K256-G256</f>
        <v>188160</v>
      </c>
      <c r="J256" s="445"/>
      <c r="K256" s="314">
        <v>190000</v>
      </c>
      <c r="L256" s="445"/>
      <c r="M256" s="316">
        <v>190000</v>
      </c>
      <c r="N256" s="445"/>
      <c r="O256" s="316">
        <f t="shared" si="53"/>
        <v>0</v>
      </c>
    </row>
    <row r="257" spans="1:17" ht="13.5">
      <c r="A257" s="458" t="s">
        <v>1361</v>
      </c>
      <c r="B257" s="485"/>
      <c r="C257" s="324"/>
      <c r="D257" s="445"/>
      <c r="E257" s="299"/>
      <c r="F257" s="27"/>
      <c r="G257" s="299"/>
      <c r="H257" s="445"/>
      <c r="I257" s="26"/>
      <c r="J257" s="445"/>
      <c r="K257" s="314"/>
      <c r="L257" s="445"/>
      <c r="M257" s="314"/>
      <c r="N257" s="445"/>
      <c r="O257" s="314"/>
    </row>
    <row r="258" spans="1:17" ht="13.5">
      <c r="A258" s="458" t="s">
        <v>633</v>
      </c>
      <c r="B258" s="485" t="s">
        <v>831</v>
      </c>
      <c r="C258" s="324"/>
      <c r="D258" s="445"/>
      <c r="E258" s="299"/>
      <c r="F258" s="27"/>
      <c r="G258" s="299"/>
      <c r="H258" s="445"/>
      <c r="I258" s="26"/>
      <c r="J258" s="445"/>
      <c r="K258" s="314"/>
      <c r="L258" s="445"/>
      <c r="M258" s="314"/>
      <c r="N258" s="445"/>
      <c r="O258" s="314"/>
    </row>
    <row r="259" spans="1:17" ht="13.5">
      <c r="A259" s="458"/>
      <c r="B259" s="485" t="s">
        <v>1362</v>
      </c>
      <c r="C259" s="324" t="s">
        <v>126</v>
      </c>
      <c r="D259" s="445"/>
      <c r="E259" s="299">
        <v>0</v>
      </c>
      <c r="F259" s="27"/>
      <c r="G259" s="299">
        <v>0</v>
      </c>
      <c r="H259" s="445"/>
      <c r="I259" s="26">
        <f t="shared" ref="I259:I264" si="54">K259-G259</f>
        <v>0</v>
      </c>
      <c r="J259" s="445"/>
      <c r="K259" s="314">
        <v>0</v>
      </c>
      <c r="L259" s="445"/>
      <c r="M259" s="316">
        <v>40000</v>
      </c>
      <c r="N259" s="445"/>
      <c r="O259" s="316">
        <f t="shared" ref="O259" si="55">M259-K259</f>
        <v>40000</v>
      </c>
      <c r="P259" s="929" t="s">
        <v>11</v>
      </c>
    </row>
    <row r="260" spans="1:17" ht="13.5">
      <c r="A260" s="458"/>
      <c r="B260" s="485" t="s">
        <v>634</v>
      </c>
      <c r="C260" s="324" t="s">
        <v>127</v>
      </c>
      <c r="D260" s="445"/>
      <c r="E260" s="299">
        <v>0</v>
      </c>
      <c r="F260" s="27"/>
      <c r="G260" s="299">
        <v>0</v>
      </c>
      <c r="H260" s="445"/>
      <c r="I260" s="26">
        <f t="shared" si="54"/>
        <v>0</v>
      </c>
      <c r="J260" s="445"/>
      <c r="K260" s="314">
        <v>0</v>
      </c>
      <c r="L260" s="445"/>
      <c r="M260" s="316">
        <v>75000</v>
      </c>
      <c r="N260" s="445"/>
      <c r="O260" s="316">
        <f t="shared" ref="O260" si="56">M260-K260</f>
        <v>75000</v>
      </c>
      <c r="P260" s="929" t="s">
        <v>11</v>
      </c>
    </row>
    <row r="261" spans="1:17" ht="13.5">
      <c r="A261" s="458"/>
      <c r="B261" s="485" t="s">
        <v>635</v>
      </c>
      <c r="C261" s="324" t="s">
        <v>128</v>
      </c>
      <c r="D261" s="445"/>
      <c r="E261" s="299">
        <v>0</v>
      </c>
      <c r="F261" s="27"/>
      <c r="G261" s="299">
        <v>0</v>
      </c>
      <c r="H261" s="445"/>
      <c r="I261" s="26">
        <f t="shared" si="54"/>
        <v>0</v>
      </c>
      <c r="J261" s="445"/>
      <c r="K261" s="314">
        <v>0</v>
      </c>
      <c r="L261" s="445"/>
      <c r="M261" s="316">
        <v>30000</v>
      </c>
      <c r="N261" s="445"/>
      <c r="O261" s="316">
        <f t="shared" ref="O261" si="57">M261-K261</f>
        <v>30000</v>
      </c>
      <c r="P261" s="929" t="s">
        <v>11</v>
      </c>
    </row>
    <row r="262" spans="1:17" ht="13.5">
      <c r="A262" s="458"/>
      <c r="B262" s="485" t="s">
        <v>830</v>
      </c>
      <c r="C262" s="324" t="s">
        <v>129</v>
      </c>
      <c r="D262" s="445"/>
      <c r="E262" s="299">
        <v>0</v>
      </c>
      <c r="F262" s="27"/>
      <c r="G262" s="299">
        <v>0</v>
      </c>
      <c r="H262" s="445"/>
      <c r="I262" s="26">
        <f t="shared" si="54"/>
        <v>0</v>
      </c>
      <c r="J262" s="445"/>
      <c r="K262" s="314">
        <v>0</v>
      </c>
      <c r="L262" s="445"/>
      <c r="M262" s="316">
        <v>160000</v>
      </c>
      <c r="N262" s="445"/>
      <c r="O262" s="316">
        <f t="shared" ref="O262:O264" si="58">M262-K262</f>
        <v>160000</v>
      </c>
      <c r="P262" s="929" t="s">
        <v>11</v>
      </c>
    </row>
    <row r="263" spans="1:17" ht="13.5">
      <c r="A263" s="458"/>
      <c r="B263" s="485" t="s">
        <v>1363</v>
      </c>
      <c r="C263" s="324" t="s">
        <v>173</v>
      </c>
      <c r="D263" s="445"/>
      <c r="E263" s="299">
        <v>0</v>
      </c>
      <c r="F263" s="27"/>
      <c r="G263" s="299">
        <v>0</v>
      </c>
      <c r="H263" s="445"/>
      <c r="I263" s="26">
        <f t="shared" si="54"/>
        <v>0</v>
      </c>
      <c r="J263" s="445"/>
      <c r="K263" s="314">
        <v>0</v>
      </c>
      <c r="L263" s="445"/>
      <c r="M263" s="316">
        <v>60000</v>
      </c>
      <c r="N263" s="445"/>
      <c r="O263" s="316">
        <f t="shared" ref="O263" si="59">M263-K263</f>
        <v>60000</v>
      </c>
    </row>
    <row r="264" spans="1:17" ht="13.5">
      <c r="A264" s="458"/>
      <c r="B264" s="485" t="s">
        <v>1364</v>
      </c>
      <c r="C264" s="324" t="s">
        <v>137</v>
      </c>
      <c r="D264" s="445"/>
      <c r="E264" s="299">
        <v>0</v>
      </c>
      <c r="F264" s="27"/>
      <c r="G264" s="299">
        <v>0</v>
      </c>
      <c r="H264" s="445"/>
      <c r="I264" s="26">
        <f t="shared" si="54"/>
        <v>0</v>
      </c>
      <c r="J264" s="445"/>
      <c r="K264" s="314">
        <v>0</v>
      </c>
      <c r="L264" s="445"/>
      <c r="M264" s="316">
        <v>20000</v>
      </c>
      <c r="N264" s="445"/>
      <c r="O264" s="316">
        <f t="shared" si="58"/>
        <v>20000</v>
      </c>
    </row>
    <row r="265" spans="1:17" ht="13.5">
      <c r="A265" s="458"/>
      <c r="B265" s="485" t="s">
        <v>636</v>
      </c>
      <c r="C265" s="324" t="s">
        <v>148</v>
      </c>
      <c r="D265" s="445"/>
      <c r="E265" s="299"/>
      <c r="F265" s="27"/>
      <c r="G265" s="299"/>
      <c r="H265" s="445"/>
      <c r="I265" s="26"/>
      <c r="J265" s="445"/>
      <c r="K265" s="314"/>
      <c r="L265" s="445"/>
      <c r="M265" s="314"/>
      <c r="N265" s="445"/>
      <c r="O265" s="314"/>
    </row>
    <row r="266" spans="1:17" ht="13.5">
      <c r="A266" s="458"/>
      <c r="B266" s="485" t="s">
        <v>1365</v>
      </c>
      <c r="C266" s="324"/>
      <c r="D266" s="445"/>
      <c r="E266" s="299">
        <v>0</v>
      </c>
      <c r="F266" s="27"/>
      <c r="G266" s="299">
        <v>0</v>
      </c>
      <c r="H266" s="445"/>
      <c r="I266" s="26">
        <f>K266-G266</f>
        <v>0</v>
      </c>
      <c r="J266" s="445"/>
      <c r="K266" s="314">
        <v>0</v>
      </c>
      <c r="L266" s="445"/>
      <c r="M266" s="316">
        <v>40000</v>
      </c>
      <c r="N266" s="445"/>
      <c r="O266" s="316">
        <f t="shared" ref="O266:O268" si="60">M266-K266</f>
        <v>40000</v>
      </c>
    </row>
    <row r="267" spans="1:17" ht="13.5">
      <c r="A267" s="458"/>
      <c r="B267" s="485" t="s">
        <v>1366</v>
      </c>
      <c r="C267" s="324"/>
      <c r="D267" s="445"/>
      <c r="E267" s="299">
        <v>0</v>
      </c>
      <c r="F267" s="27"/>
      <c r="G267" s="299">
        <v>0</v>
      </c>
      <c r="H267" s="445"/>
      <c r="I267" s="26">
        <f>K267-G267</f>
        <v>0</v>
      </c>
      <c r="J267" s="445"/>
      <c r="K267" s="314">
        <v>0</v>
      </c>
      <c r="L267" s="445"/>
      <c r="M267" s="316">
        <v>25000</v>
      </c>
      <c r="N267" s="445"/>
      <c r="O267" s="316">
        <f t="shared" ref="O267" si="61">M267-K267</f>
        <v>25000</v>
      </c>
    </row>
    <row r="268" spans="1:17" ht="13.5">
      <c r="A268" s="458"/>
      <c r="B268" s="485" t="s">
        <v>1367</v>
      </c>
      <c r="C268" s="324"/>
      <c r="D268" s="445"/>
      <c r="E268" s="299">
        <v>0</v>
      </c>
      <c r="F268" s="27"/>
      <c r="G268" s="299">
        <v>0</v>
      </c>
      <c r="H268" s="445"/>
      <c r="I268" s="26">
        <f>K268-G268</f>
        <v>0</v>
      </c>
      <c r="J268" s="445"/>
      <c r="K268" s="314">
        <v>0</v>
      </c>
      <c r="L268" s="445"/>
      <c r="M268" s="316">
        <v>20000</v>
      </c>
      <c r="N268" s="445"/>
      <c r="O268" s="316">
        <f t="shared" si="60"/>
        <v>20000</v>
      </c>
    </row>
    <row r="269" spans="1:17" s="474" customFormat="1" ht="13.5">
      <c r="A269" s="458"/>
      <c r="B269" s="485" t="s">
        <v>1368</v>
      </c>
      <c r="C269" s="490"/>
      <c r="D269" s="458"/>
      <c r="E269" s="299"/>
      <c r="F269" s="27"/>
      <c r="G269" s="299"/>
      <c r="H269" s="445"/>
      <c r="I269" s="26"/>
      <c r="J269" s="445"/>
      <c r="K269" s="314"/>
      <c r="L269" s="445"/>
      <c r="M269" s="314"/>
      <c r="N269" s="445"/>
      <c r="O269" s="314"/>
      <c r="P269" s="933"/>
      <c r="Q269" s="933"/>
    </row>
    <row r="270" spans="1:17" ht="13.5">
      <c r="A270" s="458"/>
      <c r="B270" s="485" t="s">
        <v>1369</v>
      </c>
      <c r="C270" s="490" t="s">
        <v>149</v>
      </c>
      <c r="D270" s="458"/>
      <c r="E270" s="299"/>
      <c r="F270" s="27"/>
      <c r="G270" s="299"/>
      <c r="H270" s="445"/>
      <c r="I270" s="26"/>
      <c r="J270" s="445"/>
      <c r="K270" s="314"/>
      <c r="L270" s="445"/>
      <c r="M270" s="314"/>
      <c r="N270" s="445"/>
      <c r="O270" s="314"/>
    </row>
    <row r="271" spans="1:17" ht="13.5">
      <c r="A271" s="458"/>
      <c r="B271" s="485" t="s">
        <v>1370</v>
      </c>
      <c r="C271" s="490"/>
      <c r="D271" s="458"/>
      <c r="E271" s="299">
        <v>0</v>
      </c>
      <c r="F271" s="27"/>
      <c r="G271" s="299">
        <v>0</v>
      </c>
      <c r="H271" s="445"/>
      <c r="I271" s="26">
        <f>K271-G271</f>
        <v>0</v>
      </c>
      <c r="J271" s="445"/>
      <c r="K271" s="314">
        <v>0</v>
      </c>
      <c r="L271" s="445"/>
      <c r="M271" s="316">
        <v>80000</v>
      </c>
      <c r="N271" s="445"/>
      <c r="O271" s="316">
        <f>M271-K271</f>
        <v>80000</v>
      </c>
    </row>
    <row r="272" spans="1:17" ht="13.5">
      <c r="A272" s="483" t="s">
        <v>583</v>
      </c>
      <c r="B272" s="485"/>
      <c r="C272" s="324"/>
      <c r="D272" s="445"/>
      <c r="E272" s="299"/>
      <c r="F272" s="27"/>
      <c r="G272" s="299"/>
      <c r="H272" s="445"/>
      <c r="I272" s="26"/>
      <c r="J272" s="445"/>
      <c r="K272" s="26"/>
      <c r="L272" s="445"/>
      <c r="M272" s="26"/>
      <c r="N272" s="445"/>
      <c r="O272" s="26">
        <v>0</v>
      </c>
    </row>
    <row r="273" spans="1:15" ht="13.5">
      <c r="A273" s="458" t="s">
        <v>578</v>
      </c>
      <c r="B273" s="485"/>
      <c r="C273" s="324"/>
      <c r="D273" s="445"/>
      <c r="E273" s="299"/>
      <c r="F273" s="27"/>
      <c r="G273" s="299"/>
      <c r="H273" s="445"/>
      <c r="I273" s="26"/>
      <c r="J273" s="445"/>
      <c r="K273" s="314"/>
      <c r="L273" s="445"/>
      <c r="M273" s="314"/>
      <c r="N273" s="445"/>
      <c r="O273" s="314"/>
    </row>
    <row r="274" spans="1:15" ht="13.5">
      <c r="A274" s="458"/>
      <c r="B274" s="485" t="s">
        <v>667</v>
      </c>
      <c r="C274" s="324" t="s">
        <v>127</v>
      </c>
      <c r="D274" s="445"/>
      <c r="E274" s="299">
        <v>0</v>
      </c>
      <c r="F274" s="27"/>
      <c r="G274" s="299">
        <v>0</v>
      </c>
      <c r="H274" s="445"/>
      <c r="I274" s="26">
        <f>K274-G274</f>
        <v>130000</v>
      </c>
      <c r="J274" s="445"/>
      <c r="K274" s="314">
        <v>130000</v>
      </c>
      <c r="L274" s="445"/>
      <c r="M274" s="316">
        <v>130000</v>
      </c>
      <c r="N274" s="445"/>
      <c r="O274" s="316">
        <f t="shared" ref="O274:O276" si="62">M274-K274</f>
        <v>0</v>
      </c>
    </row>
    <row r="275" spans="1:15" ht="13.5">
      <c r="A275" s="458"/>
      <c r="B275" s="485" t="s">
        <v>663</v>
      </c>
      <c r="C275" s="324" t="s">
        <v>173</v>
      </c>
      <c r="D275" s="445"/>
      <c r="E275" s="299">
        <v>60310</v>
      </c>
      <c r="F275" s="27"/>
      <c r="G275" s="299">
        <v>0</v>
      </c>
      <c r="H275" s="445"/>
      <c r="I275" s="26">
        <f>K275-G275</f>
        <v>90000</v>
      </c>
      <c r="J275" s="445"/>
      <c r="K275" s="314">
        <v>90000</v>
      </c>
      <c r="L275" s="445"/>
      <c r="M275" s="316">
        <v>90000</v>
      </c>
      <c r="N275" s="445"/>
      <c r="O275" s="316">
        <f t="shared" si="62"/>
        <v>0</v>
      </c>
    </row>
    <row r="276" spans="1:15" ht="13.5">
      <c r="A276" s="458"/>
      <c r="B276" s="485" t="s">
        <v>670</v>
      </c>
      <c r="C276" s="324" t="s">
        <v>129</v>
      </c>
      <c r="D276" s="445"/>
      <c r="E276" s="299">
        <v>0</v>
      </c>
      <c r="F276" s="27"/>
      <c r="G276" s="299">
        <v>6776.4</v>
      </c>
      <c r="H276" s="445"/>
      <c r="I276" s="26">
        <f>K276-G276</f>
        <v>23223.599999999999</v>
      </c>
      <c r="J276" s="445"/>
      <c r="K276" s="314">
        <v>30000</v>
      </c>
      <c r="L276" s="445"/>
      <c r="M276" s="316">
        <v>30000</v>
      </c>
      <c r="N276" s="445"/>
      <c r="O276" s="316">
        <f t="shared" si="62"/>
        <v>0</v>
      </c>
    </row>
    <row r="277" spans="1:15" ht="13.5">
      <c r="A277" s="458"/>
      <c r="B277" s="485" t="s">
        <v>655</v>
      </c>
      <c r="C277" s="324" t="s">
        <v>148</v>
      </c>
      <c r="D277" s="445"/>
      <c r="E277" s="299"/>
      <c r="F277" s="27"/>
      <c r="G277" s="299"/>
      <c r="H277" s="445"/>
      <c r="I277" s="26"/>
      <c r="J277" s="445"/>
      <c r="K277" s="314"/>
      <c r="L277" s="445"/>
      <c r="M277" s="314"/>
      <c r="N277" s="445"/>
      <c r="O277" s="314"/>
    </row>
    <row r="278" spans="1:15" ht="13.5">
      <c r="A278" s="458"/>
      <c r="B278" s="485" t="s">
        <v>664</v>
      </c>
      <c r="C278" s="324"/>
      <c r="D278" s="445"/>
      <c r="E278" s="299">
        <v>0</v>
      </c>
      <c r="F278" s="27"/>
      <c r="G278" s="299">
        <v>0</v>
      </c>
      <c r="H278" s="445"/>
      <c r="I278" s="26">
        <f t="shared" ref="I278:I280" si="63">K278-G278</f>
        <v>66000</v>
      </c>
      <c r="J278" s="445"/>
      <c r="K278" s="314">
        <v>66000</v>
      </c>
      <c r="L278" s="445"/>
      <c r="M278" s="316">
        <v>66000</v>
      </c>
      <c r="N278" s="445"/>
      <c r="O278" s="316">
        <f t="shared" ref="O278:O280" si="64">M278-K278</f>
        <v>0</v>
      </c>
    </row>
    <row r="279" spans="1:15" ht="13.5">
      <c r="A279" s="458"/>
      <c r="B279" s="485" t="s">
        <v>671</v>
      </c>
      <c r="C279" s="324"/>
      <c r="D279" s="445"/>
      <c r="E279" s="299">
        <v>0</v>
      </c>
      <c r="F279" s="27"/>
      <c r="G279" s="299">
        <v>1416</v>
      </c>
      <c r="H279" s="445"/>
      <c r="I279" s="26">
        <f t="shared" si="63"/>
        <v>33584</v>
      </c>
      <c r="J279" s="445"/>
      <c r="K279" s="314">
        <v>35000</v>
      </c>
      <c r="L279" s="445"/>
      <c r="M279" s="316">
        <v>35000</v>
      </c>
      <c r="N279" s="445"/>
      <c r="O279" s="316">
        <f t="shared" si="64"/>
        <v>0</v>
      </c>
    </row>
    <row r="280" spans="1:15" ht="13.5">
      <c r="A280" s="458"/>
      <c r="B280" s="485" t="s">
        <v>835</v>
      </c>
      <c r="C280" s="324"/>
      <c r="D280" s="445"/>
      <c r="E280" s="299">
        <v>0</v>
      </c>
      <c r="F280" s="27"/>
      <c r="G280" s="299">
        <v>0</v>
      </c>
      <c r="H280" s="445"/>
      <c r="I280" s="26">
        <f t="shared" si="63"/>
        <v>20000</v>
      </c>
      <c r="J280" s="445"/>
      <c r="K280" s="314">
        <v>20000</v>
      </c>
      <c r="L280" s="445"/>
      <c r="M280" s="316">
        <v>20000</v>
      </c>
      <c r="N280" s="445"/>
      <c r="O280" s="316">
        <f t="shared" si="64"/>
        <v>0</v>
      </c>
    </row>
    <row r="281" spans="1:15" ht="13.5">
      <c r="A281" s="459" t="s">
        <v>25</v>
      </c>
      <c r="B281" s="488"/>
      <c r="C281" s="324"/>
      <c r="D281" s="445"/>
      <c r="E281" s="299"/>
      <c r="F281" s="27"/>
      <c r="G281" s="299"/>
      <c r="H281" s="445"/>
      <c r="I281" s="26"/>
      <c r="J281" s="445"/>
      <c r="K281" s="26"/>
      <c r="L281" s="445"/>
      <c r="M281" s="26"/>
      <c r="N281" s="445"/>
      <c r="O281" s="26">
        <v>0</v>
      </c>
    </row>
    <row r="282" spans="1:15" ht="13.5">
      <c r="A282" s="458" t="s">
        <v>578</v>
      </c>
      <c r="B282" s="485"/>
      <c r="C282" s="324"/>
      <c r="D282" s="445"/>
      <c r="E282" s="299"/>
      <c r="F282" s="27"/>
      <c r="G282" s="299"/>
      <c r="H282" s="445"/>
      <c r="I282" s="26"/>
      <c r="J282" s="445"/>
      <c r="K282" s="26"/>
      <c r="L282" s="445"/>
      <c r="M282" s="26"/>
      <c r="N282" s="445"/>
      <c r="O282" s="26"/>
    </row>
    <row r="283" spans="1:15" ht="13.5">
      <c r="A283" s="458"/>
      <c r="B283" s="485" t="s">
        <v>660</v>
      </c>
      <c r="C283" s="324" t="s">
        <v>126</v>
      </c>
      <c r="D283" s="445"/>
      <c r="E283" s="299">
        <v>4800</v>
      </c>
      <c r="F283" s="27"/>
      <c r="G283" s="299">
        <v>0</v>
      </c>
      <c r="H283" s="445"/>
      <c r="I283" s="26">
        <f>K283-G283</f>
        <v>30000</v>
      </c>
      <c r="J283" s="445"/>
      <c r="K283" s="314">
        <v>30000</v>
      </c>
      <c r="L283" s="445"/>
      <c r="M283" s="316">
        <v>30000</v>
      </c>
      <c r="N283" s="445"/>
      <c r="O283" s="316">
        <f t="shared" ref="O283:O287" si="65">M283-K283</f>
        <v>0</v>
      </c>
    </row>
    <row r="284" spans="1:15" ht="13.5">
      <c r="A284" s="458"/>
      <c r="B284" s="485" t="s">
        <v>667</v>
      </c>
      <c r="C284" s="324" t="s">
        <v>127</v>
      </c>
      <c r="D284" s="445"/>
      <c r="E284" s="299">
        <v>0</v>
      </c>
      <c r="F284" s="27"/>
      <c r="G284" s="299">
        <v>0</v>
      </c>
      <c r="H284" s="445"/>
      <c r="I284" s="26">
        <f>K284-G284</f>
        <v>5000</v>
      </c>
      <c r="J284" s="445"/>
      <c r="K284" s="314">
        <v>5000</v>
      </c>
      <c r="L284" s="445"/>
      <c r="M284" s="316">
        <v>5000</v>
      </c>
      <c r="N284" s="445"/>
      <c r="O284" s="316">
        <f t="shared" si="65"/>
        <v>0</v>
      </c>
    </row>
    <row r="285" spans="1:15" ht="13.5">
      <c r="A285" s="458"/>
      <c r="B285" s="485" t="s">
        <v>679</v>
      </c>
      <c r="C285" s="324" t="s">
        <v>128</v>
      </c>
      <c r="D285" s="445"/>
      <c r="E285" s="299">
        <v>3370</v>
      </c>
      <c r="F285" s="27"/>
      <c r="G285" s="299">
        <v>0</v>
      </c>
      <c r="H285" s="445"/>
      <c r="I285" s="26">
        <f>K285-G285</f>
        <v>5000</v>
      </c>
      <c r="J285" s="445"/>
      <c r="K285" s="314">
        <v>5000</v>
      </c>
      <c r="L285" s="445"/>
      <c r="M285" s="316">
        <v>5000</v>
      </c>
      <c r="N285" s="445"/>
      <c r="O285" s="316">
        <f t="shared" si="65"/>
        <v>0</v>
      </c>
    </row>
    <row r="286" spans="1:15" ht="13.5">
      <c r="A286" s="458"/>
      <c r="B286" s="485" t="s">
        <v>670</v>
      </c>
      <c r="C286" s="324" t="s">
        <v>129</v>
      </c>
      <c r="D286" s="445"/>
      <c r="E286" s="299">
        <v>0</v>
      </c>
      <c r="F286" s="27"/>
      <c r="G286" s="299">
        <v>0</v>
      </c>
      <c r="H286" s="445"/>
      <c r="I286" s="26">
        <f>K286-G286</f>
        <v>5000</v>
      </c>
      <c r="J286" s="445"/>
      <c r="K286" s="314">
        <v>5000</v>
      </c>
      <c r="L286" s="445"/>
      <c r="M286" s="316">
        <v>5000</v>
      </c>
      <c r="N286" s="445"/>
      <c r="O286" s="316">
        <f t="shared" si="65"/>
        <v>0</v>
      </c>
    </row>
    <row r="287" spans="1:15" ht="13.5">
      <c r="A287" s="458"/>
      <c r="B287" s="485" t="s">
        <v>674</v>
      </c>
      <c r="C287" s="324" t="s">
        <v>174</v>
      </c>
      <c r="D287" s="445"/>
      <c r="E287" s="299">
        <v>750</v>
      </c>
      <c r="F287" s="27"/>
      <c r="G287" s="299">
        <v>0</v>
      </c>
      <c r="H287" s="445"/>
      <c r="I287" s="26">
        <f>K287-G287</f>
        <v>10000</v>
      </c>
      <c r="J287" s="445"/>
      <c r="K287" s="314">
        <v>10000</v>
      </c>
      <c r="L287" s="445"/>
      <c r="M287" s="316">
        <v>10000</v>
      </c>
      <c r="N287" s="445"/>
      <c r="O287" s="316">
        <f t="shared" si="65"/>
        <v>0</v>
      </c>
    </row>
    <row r="288" spans="1:15" ht="13.5">
      <c r="A288" s="458"/>
      <c r="B288" s="485" t="s">
        <v>655</v>
      </c>
      <c r="C288" s="324" t="s">
        <v>148</v>
      </c>
      <c r="D288" s="445"/>
      <c r="E288" s="299"/>
      <c r="F288" s="27"/>
      <c r="G288" s="299"/>
      <c r="H288" s="445"/>
      <c r="I288" s="26"/>
      <c r="J288" s="445"/>
      <c r="K288" s="314"/>
      <c r="L288" s="445"/>
      <c r="M288" s="314"/>
      <c r="N288" s="445"/>
      <c r="O288" s="314"/>
    </row>
    <row r="289" spans="1:15" ht="13.5">
      <c r="A289" s="458"/>
      <c r="B289" s="485" t="s">
        <v>664</v>
      </c>
      <c r="C289" s="324"/>
      <c r="D289" s="445"/>
      <c r="E289" s="299">
        <v>5000</v>
      </c>
      <c r="F289" s="27"/>
      <c r="G289" s="299">
        <v>0</v>
      </c>
      <c r="H289" s="445"/>
      <c r="I289" s="26">
        <f>K289-G289</f>
        <v>10000</v>
      </c>
      <c r="J289" s="445"/>
      <c r="K289" s="314">
        <v>10000</v>
      </c>
      <c r="L289" s="445"/>
      <c r="M289" s="316">
        <v>10000</v>
      </c>
      <c r="N289" s="445"/>
      <c r="O289" s="316">
        <f t="shared" ref="O289" si="66">M289-K289</f>
        <v>0</v>
      </c>
    </row>
    <row r="290" spans="1:15" ht="13.5">
      <c r="A290" s="458"/>
      <c r="B290" s="485" t="s">
        <v>672</v>
      </c>
      <c r="C290" s="324"/>
      <c r="D290" s="445"/>
      <c r="E290" s="299"/>
      <c r="F290" s="27"/>
      <c r="G290" s="299"/>
      <c r="H290" s="445"/>
      <c r="I290" s="26"/>
      <c r="J290" s="445"/>
      <c r="K290" s="314"/>
      <c r="L290" s="445"/>
      <c r="M290" s="314"/>
      <c r="N290" s="445"/>
      <c r="O290" s="314"/>
    </row>
    <row r="291" spans="1:15" ht="13.5">
      <c r="A291" s="458"/>
      <c r="B291" s="485" t="s">
        <v>673</v>
      </c>
      <c r="C291" s="324"/>
      <c r="D291" s="445"/>
      <c r="E291" s="299">
        <v>0</v>
      </c>
      <c r="F291" s="27"/>
      <c r="G291" s="299">
        <v>0</v>
      </c>
      <c r="H291" s="445"/>
      <c r="I291" s="26">
        <f>K291-G291</f>
        <v>29000</v>
      </c>
      <c r="J291" s="445"/>
      <c r="K291" s="314">
        <v>29000</v>
      </c>
      <c r="L291" s="445"/>
      <c r="M291" s="316">
        <v>29000</v>
      </c>
      <c r="N291" s="445"/>
      <c r="O291" s="316">
        <f t="shared" ref="O291:O292" si="67">M291-K291</f>
        <v>0</v>
      </c>
    </row>
    <row r="292" spans="1:15" ht="13.5">
      <c r="A292" s="458"/>
      <c r="B292" s="485" t="s">
        <v>836</v>
      </c>
      <c r="C292" s="324"/>
      <c r="D292" s="445"/>
      <c r="E292" s="299">
        <v>0</v>
      </c>
      <c r="F292" s="27"/>
      <c r="G292" s="299">
        <v>0</v>
      </c>
      <c r="H292" s="445"/>
      <c r="I292" s="26">
        <f>K292-G292</f>
        <v>10000</v>
      </c>
      <c r="J292" s="445"/>
      <c r="K292" s="314">
        <v>10000</v>
      </c>
      <c r="L292" s="445"/>
      <c r="M292" s="316">
        <v>10000</v>
      </c>
      <c r="N292" s="450"/>
      <c r="O292" s="713">
        <f t="shared" si="67"/>
        <v>0</v>
      </c>
    </row>
    <row r="293" spans="1:15" ht="13.5">
      <c r="A293" s="434" t="s">
        <v>587</v>
      </c>
      <c r="B293" s="451"/>
      <c r="C293" s="324"/>
      <c r="D293" s="445"/>
      <c r="E293" s="299"/>
      <c r="F293" s="27"/>
      <c r="G293" s="299"/>
      <c r="H293" s="445"/>
      <c r="I293" s="26"/>
      <c r="J293" s="445"/>
      <c r="K293" s="26"/>
      <c r="L293" s="445"/>
      <c r="M293" s="26"/>
      <c r="N293" s="445"/>
      <c r="O293" s="26"/>
    </row>
    <row r="294" spans="1:15" ht="13.5">
      <c r="A294" s="458" t="s">
        <v>584</v>
      </c>
      <c r="B294" s="485"/>
      <c r="C294" s="324"/>
      <c r="D294" s="445"/>
      <c r="E294" s="299"/>
      <c r="F294" s="27"/>
      <c r="G294" s="299"/>
      <c r="H294" s="445"/>
      <c r="I294" s="26"/>
      <c r="J294" s="445"/>
      <c r="K294" s="26"/>
      <c r="L294" s="445"/>
      <c r="M294" s="26"/>
      <c r="N294" s="445"/>
      <c r="O294" s="26"/>
    </row>
    <row r="295" spans="1:15" ht="13.5">
      <c r="A295" s="458" t="s">
        <v>578</v>
      </c>
      <c r="B295" s="485"/>
      <c r="C295" s="324"/>
      <c r="D295" s="445"/>
      <c r="E295" s="299"/>
      <c r="F295" s="27"/>
      <c r="G295" s="299"/>
      <c r="H295" s="445"/>
      <c r="I295" s="26"/>
      <c r="J295" s="445"/>
      <c r="K295" s="26"/>
      <c r="L295" s="445"/>
      <c r="M295" s="26"/>
      <c r="N295" s="445"/>
      <c r="O295" s="26"/>
    </row>
    <row r="296" spans="1:15" ht="13.5">
      <c r="A296" s="493"/>
      <c r="B296" s="494" t="s">
        <v>660</v>
      </c>
      <c r="C296" s="326" t="s">
        <v>126</v>
      </c>
      <c r="D296" s="450"/>
      <c r="E296" s="302">
        <v>8742</v>
      </c>
      <c r="F296" s="60"/>
      <c r="G296" s="302">
        <v>6000</v>
      </c>
      <c r="H296" s="450"/>
      <c r="I296" s="31">
        <f t="shared" ref="I296:I301" si="68">K296-G296</f>
        <v>44000</v>
      </c>
      <c r="J296" s="450"/>
      <c r="K296" s="321">
        <v>50000</v>
      </c>
      <c r="L296" s="450"/>
      <c r="M296" s="713">
        <v>50000</v>
      </c>
      <c r="N296" s="445"/>
      <c r="O296" s="316">
        <f t="shared" ref="O296:O301" si="69">M296-K296</f>
        <v>0</v>
      </c>
    </row>
    <row r="297" spans="1:15" ht="13.5">
      <c r="A297" s="458"/>
      <c r="B297" s="485" t="s">
        <v>679</v>
      </c>
      <c r="C297" s="324" t="s">
        <v>128</v>
      </c>
      <c r="D297" s="445"/>
      <c r="E297" s="299">
        <v>9698</v>
      </c>
      <c r="F297" s="27"/>
      <c r="G297" s="299">
        <v>8562</v>
      </c>
      <c r="H297" s="445"/>
      <c r="I297" s="26">
        <f t="shared" si="68"/>
        <v>46438</v>
      </c>
      <c r="J297" s="445"/>
      <c r="K297" s="314">
        <v>55000</v>
      </c>
      <c r="L297" s="445"/>
      <c r="M297" s="316">
        <v>55000</v>
      </c>
      <c r="N297" s="445"/>
      <c r="O297" s="316">
        <f t="shared" si="69"/>
        <v>0</v>
      </c>
    </row>
    <row r="298" spans="1:15" ht="13.5">
      <c r="A298" s="458"/>
      <c r="B298" s="485" t="s">
        <v>670</v>
      </c>
      <c r="C298" s="324" t="s">
        <v>129</v>
      </c>
      <c r="D298" s="445"/>
      <c r="E298" s="299">
        <v>20250</v>
      </c>
      <c r="F298" s="27"/>
      <c r="G298" s="299">
        <v>8042</v>
      </c>
      <c r="H298" s="445"/>
      <c r="I298" s="26">
        <f t="shared" si="68"/>
        <v>66958</v>
      </c>
      <c r="J298" s="445"/>
      <c r="K298" s="314">
        <v>75000</v>
      </c>
      <c r="L298" s="445"/>
      <c r="M298" s="316">
        <v>75000</v>
      </c>
      <c r="N298" s="445"/>
      <c r="O298" s="316">
        <f t="shared" si="69"/>
        <v>0</v>
      </c>
    </row>
    <row r="299" spans="1:15" ht="13.5">
      <c r="A299" s="458"/>
      <c r="B299" s="485" t="s">
        <v>674</v>
      </c>
      <c r="C299" s="324" t="s">
        <v>174</v>
      </c>
      <c r="D299" s="445"/>
      <c r="E299" s="299">
        <v>19270</v>
      </c>
      <c r="F299" s="27"/>
      <c r="G299" s="299">
        <v>2237</v>
      </c>
      <c r="H299" s="445"/>
      <c r="I299" s="26">
        <f t="shared" si="68"/>
        <v>159763</v>
      </c>
      <c r="J299" s="445"/>
      <c r="K299" s="314">
        <v>162000</v>
      </c>
      <c r="L299" s="445"/>
      <c r="M299" s="316">
        <v>162000</v>
      </c>
      <c r="N299" s="445"/>
      <c r="O299" s="316">
        <f t="shared" si="69"/>
        <v>0</v>
      </c>
    </row>
    <row r="300" spans="1:15" ht="13.5">
      <c r="A300" s="458"/>
      <c r="B300" s="485" t="s">
        <v>675</v>
      </c>
      <c r="C300" s="443" t="s">
        <v>137</v>
      </c>
      <c r="D300" s="445"/>
      <c r="E300" s="299">
        <v>4106</v>
      </c>
      <c r="F300" s="27"/>
      <c r="G300" s="299">
        <v>2460</v>
      </c>
      <c r="H300" s="445"/>
      <c r="I300" s="26">
        <f t="shared" si="68"/>
        <v>7540</v>
      </c>
      <c r="J300" s="445"/>
      <c r="K300" s="314">
        <v>10000</v>
      </c>
      <c r="L300" s="445"/>
      <c r="M300" s="316">
        <v>10000</v>
      </c>
      <c r="N300" s="445"/>
      <c r="O300" s="316">
        <f t="shared" si="69"/>
        <v>0</v>
      </c>
    </row>
    <row r="301" spans="1:15" ht="13.5">
      <c r="A301" s="458"/>
      <c r="B301" s="485" t="s">
        <v>676</v>
      </c>
      <c r="C301" s="324" t="s">
        <v>141</v>
      </c>
      <c r="D301" s="445"/>
      <c r="E301" s="299">
        <v>500</v>
      </c>
      <c r="F301" s="27"/>
      <c r="G301" s="299">
        <v>0</v>
      </c>
      <c r="H301" s="445"/>
      <c r="I301" s="26">
        <f t="shared" si="68"/>
        <v>5500</v>
      </c>
      <c r="J301" s="445"/>
      <c r="K301" s="314">
        <v>5500</v>
      </c>
      <c r="L301" s="445"/>
      <c r="M301" s="316">
        <v>5500</v>
      </c>
      <c r="N301" s="445"/>
      <c r="O301" s="316">
        <f t="shared" si="69"/>
        <v>0</v>
      </c>
    </row>
    <row r="302" spans="1:15" ht="13.5">
      <c r="A302" s="458"/>
      <c r="B302" s="485" t="s">
        <v>655</v>
      </c>
      <c r="C302" s="324" t="s">
        <v>148</v>
      </c>
      <c r="D302" s="445"/>
      <c r="E302" s="299"/>
      <c r="F302" s="27"/>
      <c r="G302" s="299"/>
      <c r="H302" s="445"/>
      <c r="I302" s="26"/>
      <c r="J302" s="445"/>
      <c r="K302" s="314"/>
      <c r="L302" s="445"/>
      <c r="M302" s="314"/>
      <c r="N302" s="445"/>
      <c r="O302" s="314"/>
    </row>
    <row r="303" spans="1:15" ht="13.5">
      <c r="A303" s="458"/>
      <c r="B303" s="485" t="s">
        <v>677</v>
      </c>
      <c r="C303" s="324"/>
      <c r="D303" s="445"/>
      <c r="E303" s="299">
        <v>0</v>
      </c>
      <c r="F303" s="27"/>
      <c r="G303" s="299">
        <v>0</v>
      </c>
      <c r="H303" s="445"/>
      <c r="I303" s="26">
        <f t="shared" ref="I303:I306" si="70">K303-G303</f>
        <v>15000</v>
      </c>
      <c r="J303" s="445"/>
      <c r="K303" s="314">
        <v>15000</v>
      </c>
      <c r="L303" s="445"/>
      <c r="M303" s="316">
        <v>15000</v>
      </c>
      <c r="N303" s="445"/>
      <c r="O303" s="316">
        <f t="shared" ref="O303:O306" si="71">M303-K303</f>
        <v>0</v>
      </c>
    </row>
    <row r="304" spans="1:15" ht="13.5">
      <c r="A304" s="458"/>
      <c r="B304" s="485" t="s">
        <v>678</v>
      </c>
      <c r="C304" s="324"/>
      <c r="D304" s="445"/>
      <c r="E304" s="299">
        <v>346505.06</v>
      </c>
      <c r="F304" s="27"/>
      <c r="G304" s="299">
        <v>178179.18</v>
      </c>
      <c r="H304" s="445"/>
      <c r="I304" s="26">
        <f t="shared" si="70"/>
        <v>303820.82</v>
      </c>
      <c r="J304" s="445"/>
      <c r="K304" s="314">
        <v>482000</v>
      </c>
      <c r="L304" s="445"/>
      <c r="M304" s="316">
        <v>482000</v>
      </c>
      <c r="N304" s="445"/>
      <c r="O304" s="316">
        <f t="shared" si="71"/>
        <v>0</v>
      </c>
    </row>
    <row r="305" spans="1:15" ht="13.5">
      <c r="A305" s="458"/>
      <c r="B305" s="485" t="s">
        <v>837</v>
      </c>
      <c r="C305" s="324"/>
      <c r="D305" s="445"/>
      <c r="E305" s="299">
        <v>83750</v>
      </c>
      <c r="F305" s="27"/>
      <c r="G305" s="299">
        <v>15150</v>
      </c>
      <c r="H305" s="445"/>
      <c r="I305" s="26">
        <f t="shared" si="70"/>
        <v>84850</v>
      </c>
      <c r="J305" s="445"/>
      <c r="K305" s="314">
        <v>100000</v>
      </c>
      <c r="L305" s="445"/>
      <c r="M305" s="316">
        <v>100000</v>
      </c>
      <c r="N305" s="445"/>
      <c r="O305" s="316">
        <f t="shared" si="71"/>
        <v>0</v>
      </c>
    </row>
    <row r="306" spans="1:15" ht="13.5">
      <c r="A306" s="458"/>
      <c r="B306" s="485" t="s">
        <v>838</v>
      </c>
      <c r="C306" s="324"/>
      <c r="D306" s="445"/>
      <c r="E306" s="299">
        <v>90000</v>
      </c>
      <c r="F306" s="27"/>
      <c r="G306" s="299">
        <v>0</v>
      </c>
      <c r="H306" s="445"/>
      <c r="I306" s="26">
        <f t="shared" si="70"/>
        <v>100000</v>
      </c>
      <c r="J306" s="445"/>
      <c r="K306" s="314">
        <v>100000</v>
      </c>
      <c r="L306" s="445"/>
      <c r="M306" s="316">
        <v>100000</v>
      </c>
      <c r="N306" s="445"/>
      <c r="O306" s="316">
        <f t="shared" si="71"/>
        <v>0</v>
      </c>
    </row>
    <row r="307" spans="1:15" ht="13.5">
      <c r="A307" s="458" t="s">
        <v>1146</v>
      </c>
      <c r="B307" s="485"/>
      <c r="C307" s="324"/>
      <c r="D307" s="445"/>
      <c r="E307" s="299"/>
      <c r="F307" s="27"/>
      <c r="G307" s="299"/>
      <c r="H307" s="445"/>
      <c r="I307" s="26">
        <f>K307-G307</f>
        <v>0</v>
      </c>
      <c r="J307" s="445"/>
      <c r="K307" s="26"/>
      <c r="L307" s="445"/>
      <c r="M307" s="26"/>
      <c r="N307" s="445"/>
      <c r="O307" s="26"/>
    </row>
    <row r="308" spans="1:15" ht="13.5">
      <c r="A308" s="458" t="s">
        <v>578</v>
      </c>
      <c r="B308" s="485"/>
      <c r="C308" s="324"/>
      <c r="D308" s="445"/>
      <c r="E308" s="299"/>
      <c r="F308" s="27"/>
      <c r="G308" s="299"/>
      <c r="H308" s="445"/>
      <c r="I308" s="26"/>
      <c r="J308" s="445"/>
      <c r="K308" s="26"/>
      <c r="L308" s="445"/>
      <c r="M308" s="26"/>
      <c r="N308" s="445"/>
      <c r="O308" s="26"/>
    </row>
    <row r="309" spans="1:15" ht="13.5">
      <c r="A309" s="458"/>
      <c r="B309" s="485" t="s">
        <v>655</v>
      </c>
      <c r="C309" s="324" t="s">
        <v>148</v>
      </c>
      <c r="D309" s="445"/>
      <c r="E309" s="299"/>
      <c r="F309" s="27"/>
      <c r="G309" s="299"/>
      <c r="H309" s="445"/>
      <c r="I309" s="26"/>
      <c r="J309" s="445"/>
      <c r="K309" s="26"/>
      <c r="L309" s="445"/>
      <c r="M309" s="26"/>
      <c r="N309" s="445"/>
      <c r="O309" s="26"/>
    </row>
    <row r="310" spans="1:15" ht="13.5">
      <c r="A310" s="458"/>
      <c r="B310" s="485" t="s">
        <v>599</v>
      </c>
      <c r="C310" s="324"/>
      <c r="D310" s="445"/>
      <c r="E310" s="299">
        <v>266400</v>
      </c>
      <c r="F310" s="27"/>
      <c r="G310" s="299">
        <v>133800</v>
      </c>
      <c r="H310" s="445"/>
      <c r="I310" s="26">
        <f>K310-G310</f>
        <v>146200</v>
      </c>
      <c r="J310" s="445"/>
      <c r="K310" s="314">
        <v>280000</v>
      </c>
      <c r="L310" s="445"/>
      <c r="M310" s="316">
        <v>280000</v>
      </c>
      <c r="N310" s="445"/>
      <c r="O310" s="316">
        <f t="shared" ref="O310:O311" si="72">M310-K310</f>
        <v>0</v>
      </c>
    </row>
    <row r="311" spans="1:15" ht="13.5">
      <c r="A311" s="458"/>
      <c r="B311" s="485" t="s">
        <v>839</v>
      </c>
      <c r="C311" s="324"/>
      <c r="D311" s="445"/>
      <c r="E311" s="299">
        <v>16835</v>
      </c>
      <c r="F311" s="27"/>
      <c r="G311" s="299">
        <v>3600</v>
      </c>
      <c r="H311" s="445"/>
      <c r="I311" s="26">
        <f>K311-G311</f>
        <v>36400</v>
      </c>
      <c r="J311" s="445"/>
      <c r="K311" s="314">
        <v>40000</v>
      </c>
      <c r="L311" s="445"/>
      <c r="M311" s="316">
        <v>40000</v>
      </c>
      <c r="N311" s="445"/>
      <c r="O311" s="316">
        <f t="shared" si="72"/>
        <v>0</v>
      </c>
    </row>
    <row r="312" spans="1:15" ht="13.5">
      <c r="A312" s="458" t="s">
        <v>585</v>
      </c>
      <c r="B312" s="485"/>
      <c r="C312" s="324"/>
      <c r="D312" s="445"/>
      <c r="E312" s="299"/>
      <c r="F312" s="27"/>
      <c r="G312" s="299"/>
      <c r="H312" s="445"/>
      <c r="I312" s="26"/>
      <c r="J312" s="445"/>
      <c r="K312" s="26"/>
      <c r="L312" s="445"/>
      <c r="M312" s="26"/>
      <c r="N312" s="445"/>
      <c r="O312" s="26"/>
    </row>
    <row r="313" spans="1:15" ht="13.5">
      <c r="A313" s="458" t="s">
        <v>578</v>
      </c>
      <c r="B313" s="485"/>
      <c r="C313" s="324"/>
      <c r="D313" s="445"/>
      <c r="E313" s="299"/>
      <c r="F313" s="27"/>
      <c r="G313" s="299"/>
      <c r="H313" s="445"/>
      <c r="I313" s="26"/>
      <c r="J313" s="445"/>
      <c r="K313" s="26"/>
      <c r="L313" s="445"/>
      <c r="M313" s="26"/>
      <c r="N313" s="445"/>
      <c r="O313" s="26"/>
    </row>
    <row r="314" spans="1:15" ht="13.5">
      <c r="A314" s="458"/>
      <c r="B314" s="485" t="s">
        <v>679</v>
      </c>
      <c r="C314" s="324" t="s">
        <v>128</v>
      </c>
      <c r="D314" s="445"/>
      <c r="E314" s="299">
        <v>0</v>
      </c>
      <c r="F314" s="27"/>
      <c r="G314" s="299">
        <v>0</v>
      </c>
      <c r="H314" s="445"/>
      <c r="I314" s="26">
        <f>K314-G314</f>
        <v>25000</v>
      </c>
      <c r="J314" s="445"/>
      <c r="K314" s="314">
        <v>25000</v>
      </c>
      <c r="L314" s="445"/>
      <c r="M314" s="316">
        <v>25000</v>
      </c>
      <c r="N314" s="445"/>
      <c r="O314" s="316">
        <f t="shared" ref="O314:O317" si="73">M314-K314</f>
        <v>0</v>
      </c>
    </row>
    <row r="315" spans="1:15" ht="13.5">
      <c r="A315" s="458"/>
      <c r="B315" s="485" t="s">
        <v>670</v>
      </c>
      <c r="C315" s="324" t="s">
        <v>129</v>
      </c>
      <c r="D315" s="445"/>
      <c r="E315" s="299">
        <v>0</v>
      </c>
      <c r="F315" s="27"/>
      <c r="G315" s="299">
        <v>0</v>
      </c>
      <c r="H315" s="445"/>
      <c r="I315" s="26">
        <f>K315-G315</f>
        <v>35000</v>
      </c>
      <c r="J315" s="445"/>
      <c r="K315" s="314">
        <v>35000</v>
      </c>
      <c r="L315" s="445"/>
      <c r="M315" s="316">
        <v>35000</v>
      </c>
      <c r="N315" s="445"/>
      <c r="O315" s="316">
        <f t="shared" si="73"/>
        <v>0</v>
      </c>
    </row>
    <row r="316" spans="1:15" ht="13.5">
      <c r="A316" s="458"/>
      <c r="B316" s="485" t="s">
        <v>674</v>
      </c>
      <c r="C316" s="324" t="s">
        <v>174</v>
      </c>
      <c r="D316" s="445"/>
      <c r="E316" s="299">
        <v>0</v>
      </c>
      <c r="F316" s="27"/>
      <c r="G316" s="299">
        <v>0</v>
      </c>
      <c r="H316" s="445"/>
      <c r="I316" s="26">
        <f>K316-G316</f>
        <v>40000</v>
      </c>
      <c r="J316" s="445"/>
      <c r="K316" s="314">
        <v>40000</v>
      </c>
      <c r="L316" s="445"/>
      <c r="M316" s="316">
        <v>40000</v>
      </c>
      <c r="N316" s="445"/>
      <c r="O316" s="316">
        <f t="shared" si="73"/>
        <v>0</v>
      </c>
    </row>
    <row r="317" spans="1:15" ht="13.5">
      <c r="A317" s="458"/>
      <c r="B317" s="485" t="s">
        <v>675</v>
      </c>
      <c r="C317" s="443" t="s">
        <v>137</v>
      </c>
      <c r="D317" s="445"/>
      <c r="E317" s="299">
        <v>0</v>
      </c>
      <c r="F317" s="27"/>
      <c r="G317" s="299">
        <v>2700</v>
      </c>
      <c r="H317" s="445"/>
      <c r="I317" s="26">
        <f>K317-G317</f>
        <v>3300</v>
      </c>
      <c r="J317" s="445"/>
      <c r="K317" s="314">
        <v>6000</v>
      </c>
      <c r="L317" s="445"/>
      <c r="M317" s="316">
        <v>6000</v>
      </c>
      <c r="N317" s="445"/>
      <c r="O317" s="316">
        <f t="shared" si="73"/>
        <v>0</v>
      </c>
    </row>
    <row r="318" spans="1:15" ht="13.5">
      <c r="A318" s="458"/>
      <c r="B318" s="485" t="s">
        <v>655</v>
      </c>
      <c r="C318" s="324" t="s">
        <v>148</v>
      </c>
      <c r="D318" s="445"/>
      <c r="E318" s="299"/>
      <c r="F318" s="27"/>
      <c r="G318" s="299"/>
      <c r="H318" s="445"/>
      <c r="I318" s="26"/>
      <c r="J318" s="445"/>
      <c r="K318" s="314"/>
      <c r="L318" s="445"/>
      <c r="M318" s="314"/>
      <c r="N318" s="445"/>
      <c r="O318" s="314"/>
    </row>
    <row r="319" spans="1:15" ht="13.5">
      <c r="A319" s="458"/>
      <c r="B319" s="485" t="s">
        <v>680</v>
      </c>
      <c r="C319" s="324"/>
      <c r="D319" s="445"/>
      <c r="E319" s="299">
        <v>10000</v>
      </c>
      <c r="F319" s="27"/>
      <c r="G319" s="299">
        <v>90000</v>
      </c>
      <c r="H319" s="445"/>
      <c r="I319" s="26">
        <f>K319-G319</f>
        <v>10000</v>
      </c>
      <c r="J319" s="445"/>
      <c r="K319" s="314">
        <v>100000</v>
      </c>
      <c r="L319" s="445"/>
      <c r="M319" s="316">
        <v>100000</v>
      </c>
      <c r="N319" s="445"/>
      <c r="O319" s="316">
        <f t="shared" ref="O319:O321" si="74">M319-K319</f>
        <v>0</v>
      </c>
    </row>
    <row r="320" spans="1:15" ht="13.5">
      <c r="A320" s="458"/>
      <c r="B320" s="485" t="s">
        <v>681</v>
      </c>
      <c r="C320" s="324"/>
      <c r="D320" s="445"/>
      <c r="E320" s="299">
        <v>30000</v>
      </c>
      <c r="F320" s="27"/>
      <c r="G320" s="299">
        <v>0</v>
      </c>
      <c r="H320" s="445"/>
      <c r="I320" s="26">
        <f>K320-G320</f>
        <v>30000</v>
      </c>
      <c r="J320" s="445"/>
      <c r="K320" s="314">
        <v>30000</v>
      </c>
      <c r="L320" s="445"/>
      <c r="M320" s="316">
        <v>30000</v>
      </c>
      <c r="N320" s="445"/>
      <c r="O320" s="316">
        <f t="shared" si="74"/>
        <v>0</v>
      </c>
    </row>
    <row r="321" spans="1:15" ht="13.5">
      <c r="A321" s="458"/>
      <c r="B321" s="485" t="s">
        <v>664</v>
      </c>
      <c r="C321" s="324"/>
      <c r="D321" s="445"/>
      <c r="E321" s="299">
        <v>20000</v>
      </c>
      <c r="F321" s="27"/>
      <c r="G321" s="299">
        <v>20000</v>
      </c>
      <c r="H321" s="445"/>
      <c r="I321" s="26">
        <f>K321-G321</f>
        <v>0</v>
      </c>
      <c r="J321" s="445"/>
      <c r="K321" s="314">
        <v>20000</v>
      </c>
      <c r="L321" s="445"/>
      <c r="M321" s="316">
        <v>20000</v>
      </c>
      <c r="N321" s="445"/>
      <c r="O321" s="316">
        <f t="shared" si="74"/>
        <v>0</v>
      </c>
    </row>
    <row r="322" spans="1:15" ht="13.5">
      <c r="A322" s="458" t="s">
        <v>586</v>
      </c>
      <c r="B322" s="485"/>
      <c r="C322" s="324"/>
      <c r="D322" s="445"/>
      <c r="E322" s="299"/>
      <c r="F322" s="27"/>
      <c r="G322" s="299"/>
      <c r="H322" s="445"/>
      <c r="I322" s="26"/>
      <c r="J322" s="445"/>
      <c r="K322" s="26"/>
      <c r="L322" s="445"/>
      <c r="M322" s="26"/>
      <c r="N322" s="445"/>
      <c r="O322" s="26"/>
    </row>
    <row r="323" spans="1:15" ht="13.5">
      <c r="A323" s="458" t="s">
        <v>578</v>
      </c>
      <c r="B323" s="485"/>
      <c r="C323" s="324"/>
      <c r="D323" s="445"/>
      <c r="E323" s="299"/>
      <c r="F323" s="27"/>
      <c r="G323" s="299"/>
      <c r="H323" s="445"/>
      <c r="I323" s="26"/>
      <c r="J323" s="445"/>
      <c r="K323" s="26"/>
      <c r="L323" s="445"/>
      <c r="M323" s="26"/>
      <c r="N323" s="445"/>
      <c r="O323" s="26"/>
    </row>
    <row r="324" spans="1:15" ht="13.5">
      <c r="A324" s="458"/>
      <c r="B324" s="485" t="s">
        <v>655</v>
      </c>
      <c r="C324" s="324" t="s">
        <v>148</v>
      </c>
      <c r="D324" s="445"/>
      <c r="E324" s="299"/>
      <c r="F324" s="27"/>
      <c r="G324" s="299"/>
      <c r="H324" s="445"/>
      <c r="I324" s="26"/>
      <c r="J324" s="445"/>
      <c r="K324" s="26"/>
      <c r="L324" s="445"/>
      <c r="M324" s="26"/>
      <c r="N324" s="445"/>
      <c r="O324" s="26"/>
    </row>
    <row r="325" spans="1:15" ht="13.5">
      <c r="A325" s="458"/>
      <c r="B325" s="485" t="s">
        <v>664</v>
      </c>
      <c r="C325" s="324"/>
      <c r="D325" s="445"/>
      <c r="E325" s="299">
        <v>0</v>
      </c>
      <c r="F325" s="27"/>
      <c r="G325" s="299">
        <v>9000</v>
      </c>
      <c r="H325" s="445"/>
      <c r="I325" s="26">
        <f>K325-G325</f>
        <v>71000</v>
      </c>
      <c r="J325" s="445"/>
      <c r="K325" s="314">
        <v>80000</v>
      </c>
      <c r="L325" s="445"/>
      <c r="M325" s="316">
        <v>80000</v>
      </c>
      <c r="N325" s="445"/>
      <c r="O325" s="316">
        <f t="shared" ref="O325" si="75">M325-K325</f>
        <v>0</v>
      </c>
    </row>
    <row r="326" spans="1:15" ht="13.5">
      <c r="A326" s="434" t="s">
        <v>970</v>
      </c>
      <c r="B326" s="485"/>
      <c r="C326" s="324"/>
      <c r="D326" s="445"/>
      <c r="E326" s="299"/>
      <c r="F326" s="27"/>
      <c r="G326" s="299"/>
      <c r="H326" s="445"/>
      <c r="I326" s="26"/>
      <c r="J326" s="445"/>
      <c r="K326" s="314"/>
      <c r="L326" s="445"/>
      <c r="M326" s="314"/>
      <c r="N326" s="445"/>
      <c r="O326" s="314"/>
    </row>
    <row r="327" spans="1:15" ht="13.5">
      <c r="A327" s="458" t="s">
        <v>578</v>
      </c>
      <c r="B327" s="485"/>
      <c r="C327" s="324"/>
      <c r="D327" s="445"/>
      <c r="E327" s="299"/>
      <c r="F327" s="27"/>
      <c r="G327" s="299"/>
      <c r="H327" s="445"/>
      <c r="I327" s="26"/>
      <c r="J327" s="445"/>
      <c r="K327" s="314"/>
      <c r="L327" s="445"/>
      <c r="M327" s="314"/>
      <c r="N327" s="445"/>
      <c r="O327" s="314"/>
    </row>
    <row r="328" spans="1:15" ht="13.5">
      <c r="A328" s="434"/>
      <c r="B328" s="485" t="s">
        <v>660</v>
      </c>
      <c r="C328" s="324" t="s">
        <v>126</v>
      </c>
      <c r="D328" s="445"/>
      <c r="E328" s="299">
        <v>243446</v>
      </c>
      <c r="F328" s="27"/>
      <c r="G328" s="299">
        <v>24900</v>
      </c>
      <c r="H328" s="445"/>
      <c r="I328" s="26">
        <f>K328-G328</f>
        <v>220600</v>
      </c>
      <c r="J328" s="445"/>
      <c r="K328" s="314">
        <v>245500</v>
      </c>
      <c r="L328" s="445"/>
      <c r="M328" s="316">
        <v>0</v>
      </c>
      <c r="N328" s="445"/>
      <c r="O328" s="316">
        <f t="shared" ref="O328:O343" si="76">M328-K328</f>
        <v>-245500</v>
      </c>
    </row>
    <row r="329" spans="1:15" ht="13.5">
      <c r="A329" s="434"/>
      <c r="B329" s="485" t="s">
        <v>979</v>
      </c>
      <c r="C329" s="324" t="s">
        <v>127</v>
      </c>
      <c r="D329" s="445"/>
      <c r="E329" s="299">
        <v>122115</v>
      </c>
      <c r="F329" s="27"/>
      <c r="G329" s="299">
        <v>0</v>
      </c>
      <c r="H329" s="445"/>
      <c r="I329" s="26">
        <f t="shared" ref="I329:I343" si="77">K329-G329</f>
        <v>125000</v>
      </c>
      <c r="J329" s="445"/>
      <c r="K329" s="314">
        <v>125000</v>
      </c>
      <c r="L329" s="445"/>
      <c r="M329" s="316">
        <v>0</v>
      </c>
      <c r="N329" s="445"/>
      <c r="O329" s="316">
        <f t="shared" si="76"/>
        <v>-125000</v>
      </c>
    </row>
    <row r="330" spans="1:15" ht="13.5">
      <c r="A330" s="434"/>
      <c r="B330" s="485" t="s">
        <v>679</v>
      </c>
      <c r="C330" s="324" t="s">
        <v>128</v>
      </c>
      <c r="D330" s="445"/>
      <c r="E330" s="299">
        <v>3830</v>
      </c>
      <c r="F330" s="27"/>
      <c r="G330" s="299">
        <v>900</v>
      </c>
      <c r="H330" s="445"/>
      <c r="I330" s="26">
        <f t="shared" si="77"/>
        <v>3100</v>
      </c>
      <c r="J330" s="445"/>
      <c r="K330" s="314">
        <v>4000</v>
      </c>
      <c r="L330" s="445"/>
      <c r="M330" s="316">
        <v>0</v>
      </c>
      <c r="N330" s="445"/>
      <c r="O330" s="316">
        <f t="shared" si="76"/>
        <v>-4000</v>
      </c>
    </row>
    <row r="331" spans="1:15" ht="13.5">
      <c r="A331" s="434"/>
      <c r="B331" s="485" t="s">
        <v>825</v>
      </c>
      <c r="C331" s="324" t="s">
        <v>129</v>
      </c>
      <c r="D331" s="445"/>
      <c r="E331" s="299">
        <v>1121890</v>
      </c>
      <c r="F331" s="27"/>
      <c r="G331" s="299">
        <v>30126.2</v>
      </c>
      <c r="H331" s="445"/>
      <c r="I331" s="26">
        <f t="shared" si="77"/>
        <v>119873.8</v>
      </c>
      <c r="J331" s="445"/>
      <c r="K331" s="314">
        <v>150000</v>
      </c>
      <c r="L331" s="445"/>
      <c r="M331" s="316">
        <v>0</v>
      </c>
      <c r="N331" s="445"/>
      <c r="O331" s="316">
        <f t="shared" si="76"/>
        <v>-150000</v>
      </c>
    </row>
    <row r="332" spans="1:15" ht="13.5">
      <c r="A332" s="434"/>
      <c r="B332" s="485" t="s">
        <v>972</v>
      </c>
      <c r="C332" s="711" t="s">
        <v>173</v>
      </c>
      <c r="D332" s="445"/>
      <c r="E332" s="299">
        <v>1810250.75</v>
      </c>
      <c r="F332" s="27"/>
      <c r="G332" s="299">
        <v>591000</v>
      </c>
      <c r="H332" s="445"/>
      <c r="I332" s="26">
        <f t="shared" si="77"/>
        <v>1239000</v>
      </c>
      <c r="J332" s="445"/>
      <c r="K332" s="314">
        <v>1830000</v>
      </c>
      <c r="L332" s="445"/>
      <c r="M332" s="316">
        <v>0</v>
      </c>
      <c r="N332" s="445"/>
      <c r="O332" s="316">
        <f t="shared" si="76"/>
        <v>-1830000</v>
      </c>
    </row>
    <row r="333" spans="1:15" ht="13.5">
      <c r="A333" s="434"/>
      <c r="B333" s="485" t="s">
        <v>662</v>
      </c>
      <c r="C333" s="711" t="s">
        <v>174</v>
      </c>
      <c r="D333" s="445"/>
      <c r="E333" s="299">
        <v>735452</v>
      </c>
      <c r="F333" s="27"/>
      <c r="G333" s="299">
        <v>54046.65</v>
      </c>
      <c r="H333" s="445"/>
      <c r="I333" s="26">
        <f t="shared" si="77"/>
        <v>760250.35</v>
      </c>
      <c r="J333" s="445"/>
      <c r="K333" s="314">
        <v>814297</v>
      </c>
      <c r="L333" s="445"/>
      <c r="M333" s="316">
        <v>0</v>
      </c>
      <c r="N333" s="445"/>
      <c r="O333" s="316">
        <f t="shared" si="76"/>
        <v>-814297</v>
      </c>
    </row>
    <row r="334" spans="1:15" ht="13.5">
      <c r="A334" s="434"/>
      <c r="B334" s="485" t="s">
        <v>1108</v>
      </c>
      <c r="C334" s="324" t="s">
        <v>1257</v>
      </c>
      <c r="D334" s="445"/>
      <c r="E334" s="299">
        <v>231000</v>
      </c>
      <c r="F334" s="27"/>
      <c r="G334" s="299">
        <v>0</v>
      </c>
      <c r="H334" s="445"/>
      <c r="I334" s="26">
        <f t="shared" si="77"/>
        <v>231000</v>
      </c>
      <c r="J334" s="445"/>
      <c r="K334" s="314">
        <v>231000</v>
      </c>
      <c r="L334" s="445"/>
      <c r="M334" s="316">
        <v>0</v>
      </c>
      <c r="N334" s="445"/>
      <c r="O334" s="316">
        <f t="shared" si="76"/>
        <v>-231000</v>
      </c>
    </row>
    <row r="335" spans="1:15" ht="13.5">
      <c r="A335" s="434"/>
      <c r="B335" s="485" t="s">
        <v>1109</v>
      </c>
      <c r="C335" s="324" t="s">
        <v>133</v>
      </c>
      <c r="D335" s="445"/>
      <c r="E335" s="299">
        <v>1920</v>
      </c>
      <c r="F335" s="27"/>
      <c r="G335" s="299">
        <v>0</v>
      </c>
      <c r="H335" s="445"/>
      <c r="I335" s="26">
        <f t="shared" si="77"/>
        <v>0</v>
      </c>
      <c r="J335" s="445"/>
      <c r="K335" s="314">
        <v>0</v>
      </c>
      <c r="L335" s="445"/>
      <c r="M335" s="314">
        <v>0</v>
      </c>
      <c r="N335" s="445"/>
      <c r="O335" s="316">
        <f t="shared" si="76"/>
        <v>0</v>
      </c>
    </row>
    <row r="336" spans="1:15" ht="13.5">
      <c r="A336" s="434"/>
      <c r="B336" s="485" t="s">
        <v>1110</v>
      </c>
      <c r="C336" s="324" t="s">
        <v>134</v>
      </c>
      <c r="D336" s="445"/>
      <c r="E336" s="299">
        <v>39000</v>
      </c>
      <c r="F336" s="27"/>
      <c r="G336" s="299">
        <v>0</v>
      </c>
      <c r="H336" s="445"/>
      <c r="I336" s="26">
        <f t="shared" si="77"/>
        <v>0</v>
      </c>
      <c r="J336" s="445"/>
      <c r="K336" s="314">
        <v>0</v>
      </c>
      <c r="L336" s="445"/>
      <c r="M336" s="314">
        <v>0</v>
      </c>
      <c r="N336" s="445"/>
      <c r="O336" s="316">
        <f t="shared" si="76"/>
        <v>0</v>
      </c>
    </row>
    <row r="337" spans="1:15" ht="13.5">
      <c r="A337" s="434"/>
      <c r="B337" s="485" t="s">
        <v>1111</v>
      </c>
      <c r="C337" s="324" t="s">
        <v>182</v>
      </c>
      <c r="D337" s="445"/>
      <c r="E337" s="299">
        <v>1255</v>
      </c>
      <c r="F337" s="27"/>
      <c r="G337" s="299">
        <v>0</v>
      </c>
      <c r="H337" s="445"/>
      <c r="I337" s="26">
        <f t="shared" si="77"/>
        <v>0</v>
      </c>
      <c r="J337" s="445"/>
      <c r="K337" s="314">
        <v>0</v>
      </c>
      <c r="L337" s="445"/>
      <c r="M337" s="314">
        <v>0</v>
      </c>
      <c r="N337" s="450"/>
      <c r="O337" s="713">
        <f t="shared" si="76"/>
        <v>0</v>
      </c>
    </row>
    <row r="338" spans="1:15" ht="13.5">
      <c r="A338" s="434"/>
      <c r="B338" s="485" t="s">
        <v>1386</v>
      </c>
      <c r="C338" s="324"/>
      <c r="D338" s="445"/>
      <c r="E338" s="299">
        <v>84099.31</v>
      </c>
      <c r="F338" s="27"/>
      <c r="G338" s="299">
        <v>0</v>
      </c>
      <c r="H338" s="445"/>
      <c r="I338" s="26">
        <v>0</v>
      </c>
      <c r="J338" s="445"/>
      <c r="K338" s="314"/>
      <c r="L338" s="445"/>
      <c r="M338" s="314"/>
      <c r="N338" s="445"/>
      <c r="O338" s="316"/>
    </row>
    <row r="339" spans="1:15" ht="13.5">
      <c r="A339" s="434"/>
      <c r="B339" s="485" t="s">
        <v>1387</v>
      </c>
      <c r="C339" s="324"/>
      <c r="D339" s="445"/>
      <c r="E339" s="299">
        <v>19359.349999999999</v>
      </c>
      <c r="F339" s="27"/>
      <c r="G339" s="299">
        <v>0</v>
      </c>
      <c r="H339" s="445"/>
      <c r="I339" s="26">
        <v>0</v>
      </c>
      <c r="J339" s="445"/>
      <c r="K339" s="299"/>
      <c r="L339" s="445"/>
      <c r="M339" s="314"/>
      <c r="N339" s="445"/>
      <c r="O339" s="316"/>
    </row>
    <row r="340" spans="1:15" ht="13.5">
      <c r="A340" s="434"/>
      <c r="B340" s="485" t="s">
        <v>1112</v>
      </c>
      <c r="C340" s="324" t="s">
        <v>141</v>
      </c>
      <c r="D340" s="445"/>
      <c r="E340" s="299">
        <v>161350</v>
      </c>
      <c r="F340" s="27"/>
      <c r="G340" s="299">
        <v>0</v>
      </c>
      <c r="H340" s="445"/>
      <c r="I340" s="26">
        <f t="shared" si="77"/>
        <v>80700</v>
      </c>
      <c r="J340" s="445"/>
      <c r="K340" s="314">
        <v>80700</v>
      </c>
      <c r="L340" s="445"/>
      <c r="M340" s="316">
        <v>0</v>
      </c>
      <c r="N340" s="445"/>
      <c r="O340" s="316">
        <f t="shared" si="76"/>
        <v>-80700</v>
      </c>
    </row>
    <row r="341" spans="1:15" ht="13.5">
      <c r="A341" s="434"/>
      <c r="B341" s="485" t="s">
        <v>1113</v>
      </c>
      <c r="C341" s="324" t="s">
        <v>144</v>
      </c>
      <c r="D341" s="445"/>
      <c r="E341" s="299">
        <v>56922.3</v>
      </c>
      <c r="F341" s="27"/>
      <c r="G341" s="299">
        <v>0</v>
      </c>
      <c r="H341" s="445"/>
      <c r="I341" s="26">
        <f t="shared" si="77"/>
        <v>0</v>
      </c>
      <c r="J341" s="445"/>
      <c r="K341" s="314">
        <v>0</v>
      </c>
      <c r="L341" s="445"/>
      <c r="M341" s="314">
        <v>0</v>
      </c>
      <c r="N341" s="445"/>
      <c r="O341" s="316">
        <f t="shared" si="76"/>
        <v>0</v>
      </c>
    </row>
    <row r="342" spans="1:15" ht="13.5">
      <c r="A342" s="434"/>
      <c r="B342" s="485" t="s">
        <v>978</v>
      </c>
      <c r="C342" s="324" t="s">
        <v>176</v>
      </c>
      <c r="D342" s="445"/>
      <c r="E342" s="299">
        <v>426250</v>
      </c>
      <c r="F342" s="27"/>
      <c r="G342" s="299">
        <v>0</v>
      </c>
      <c r="H342" s="445"/>
      <c r="I342" s="26">
        <f t="shared" si="77"/>
        <v>0</v>
      </c>
      <c r="J342" s="445"/>
      <c r="K342" s="314">
        <v>0</v>
      </c>
      <c r="L342" s="445"/>
      <c r="M342" s="314">
        <v>0</v>
      </c>
      <c r="N342" s="445"/>
      <c r="O342" s="316">
        <f t="shared" si="76"/>
        <v>0</v>
      </c>
    </row>
    <row r="343" spans="1:15" ht="13.5">
      <c r="A343" s="434"/>
      <c r="B343" s="485" t="s">
        <v>1142</v>
      </c>
      <c r="C343" s="324" t="s">
        <v>557</v>
      </c>
      <c r="D343" s="445"/>
      <c r="E343" s="299">
        <v>2019300</v>
      </c>
      <c r="F343" s="27"/>
      <c r="G343" s="299">
        <v>0</v>
      </c>
      <c r="H343" s="445"/>
      <c r="I343" s="26">
        <f t="shared" si="77"/>
        <v>0</v>
      </c>
      <c r="J343" s="445"/>
      <c r="K343" s="314">
        <v>0</v>
      </c>
      <c r="L343" s="445"/>
      <c r="M343" s="314">
        <v>0</v>
      </c>
      <c r="N343" s="445"/>
      <c r="O343" s="316">
        <f t="shared" si="76"/>
        <v>0</v>
      </c>
    </row>
    <row r="344" spans="1:15" ht="13.5">
      <c r="A344" s="447"/>
      <c r="B344" s="494" t="s">
        <v>655</v>
      </c>
      <c r="C344" s="326" t="s">
        <v>148</v>
      </c>
      <c r="D344" s="450"/>
      <c r="E344" s="302"/>
      <c r="F344" s="60"/>
      <c r="G344" s="302"/>
      <c r="H344" s="450"/>
      <c r="I344" s="31"/>
      <c r="J344" s="450"/>
      <c r="K344" s="321"/>
      <c r="L344" s="450"/>
      <c r="M344" s="321"/>
      <c r="N344" s="445"/>
      <c r="O344" s="314"/>
    </row>
    <row r="345" spans="1:15" ht="13.5">
      <c r="A345" s="434"/>
      <c r="B345" s="485" t="s">
        <v>971</v>
      </c>
      <c r="C345" s="324"/>
      <c r="D345" s="445"/>
      <c r="E345" s="299">
        <v>416415</v>
      </c>
      <c r="F345" s="27"/>
      <c r="G345" s="299">
        <v>0</v>
      </c>
      <c r="H345" s="445"/>
      <c r="I345" s="26">
        <f>K345-G345</f>
        <v>0</v>
      </c>
      <c r="J345" s="445"/>
      <c r="K345" s="314">
        <v>0</v>
      </c>
      <c r="L345" s="445"/>
      <c r="M345" s="314">
        <v>0</v>
      </c>
      <c r="N345" s="445"/>
      <c r="O345" s="316">
        <f t="shared" ref="O345" si="78">M345-K345</f>
        <v>0</v>
      </c>
    </row>
    <row r="346" spans="1:15" ht="13.5">
      <c r="A346" s="434"/>
      <c r="B346" s="485" t="s">
        <v>973</v>
      </c>
      <c r="C346" s="324"/>
      <c r="D346" s="445"/>
      <c r="E346" s="474"/>
      <c r="F346" s="27"/>
      <c r="G346" s="299"/>
      <c r="H346" s="445"/>
      <c r="I346" s="26"/>
      <c r="J346" s="445"/>
      <c r="K346" s="314"/>
      <c r="L346" s="445"/>
      <c r="M346" s="314"/>
      <c r="N346" s="445"/>
      <c r="O346" s="314"/>
    </row>
    <row r="347" spans="1:15" ht="13.5">
      <c r="A347" s="434"/>
      <c r="B347" s="485" t="s">
        <v>974</v>
      </c>
      <c r="C347" s="324"/>
      <c r="D347" s="445"/>
      <c r="E347" s="299">
        <v>200000</v>
      </c>
      <c r="F347" s="27"/>
      <c r="G347" s="299">
        <v>0</v>
      </c>
      <c r="H347" s="445"/>
      <c r="I347" s="26">
        <f>K347-G347</f>
        <v>0</v>
      </c>
      <c r="J347" s="445"/>
      <c r="K347" s="314">
        <v>0</v>
      </c>
      <c r="L347" s="445"/>
      <c r="M347" s="314">
        <v>0</v>
      </c>
      <c r="N347" s="445"/>
      <c r="O347" s="316">
        <f t="shared" ref="O347:O348" si="79">M347-K347</f>
        <v>0</v>
      </c>
    </row>
    <row r="348" spans="1:15" ht="13.5">
      <c r="A348" s="434"/>
      <c r="B348" s="485" t="s">
        <v>975</v>
      </c>
      <c r="C348" s="324"/>
      <c r="D348" s="445"/>
      <c r="E348" s="299">
        <v>861450</v>
      </c>
      <c r="F348" s="27"/>
      <c r="G348" s="299">
        <v>0</v>
      </c>
      <c r="H348" s="445"/>
      <c r="I348" s="26">
        <f>K348-G348</f>
        <v>0</v>
      </c>
      <c r="J348" s="445"/>
      <c r="K348" s="314">
        <v>0</v>
      </c>
      <c r="L348" s="445"/>
      <c r="M348" s="314">
        <v>0</v>
      </c>
      <c r="N348" s="445"/>
      <c r="O348" s="316">
        <f t="shared" si="79"/>
        <v>0</v>
      </c>
    </row>
    <row r="349" spans="1:15" ht="13.5">
      <c r="A349" s="434"/>
      <c r="B349" s="485" t="s">
        <v>976</v>
      </c>
      <c r="C349" s="324"/>
      <c r="D349" s="445"/>
      <c r="E349" s="299"/>
      <c r="F349" s="27"/>
      <c r="G349" s="299"/>
      <c r="H349" s="445"/>
      <c r="I349" s="26"/>
      <c r="J349" s="445"/>
      <c r="K349" s="314"/>
      <c r="L349" s="445"/>
      <c r="M349" s="314"/>
      <c r="N349" s="445"/>
      <c r="O349" s="314"/>
    </row>
    <row r="350" spans="1:15" ht="13.5">
      <c r="A350" s="434"/>
      <c r="B350" s="485" t="s">
        <v>977</v>
      </c>
      <c r="C350" s="324"/>
      <c r="D350" s="445"/>
      <c r="E350" s="299">
        <v>450000</v>
      </c>
      <c r="F350" s="27"/>
      <c r="G350" s="299">
        <v>0</v>
      </c>
      <c r="H350" s="445"/>
      <c r="I350" s="26">
        <f>K350-G350</f>
        <v>0</v>
      </c>
      <c r="J350" s="445"/>
      <c r="K350" s="314">
        <v>0</v>
      </c>
      <c r="L350" s="445"/>
      <c r="M350" s="314">
        <v>0</v>
      </c>
      <c r="N350" s="445"/>
      <c r="O350" s="316">
        <f t="shared" ref="O350:O354" si="80">M350-K350</f>
        <v>0</v>
      </c>
    </row>
    <row r="351" spans="1:15" ht="13.5">
      <c r="A351" s="434"/>
      <c r="B351" s="485" t="s">
        <v>1388</v>
      </c>
      <c r="C351" s="324"/>
      <c r="D351" s="445"/>
      <c r="E351" s="299">
        <v>2760</v>
      </c>
      <c r="F351" s="27"/>
      <c r="G351" s="299"/>
      <c r="H351" s="445"/>
      <c r="I351" s="26"/>
      <c r="J351" s="445"/>
      <c r="K351" s="314"/>
      <c r="L351" s="445"/>
      <c r="M351" s="314"/>
      <c r="N351" s="445"/>
      <c r="O351" s="316"/>
    </row>
    <row r="352" spans="1:15" ht="13.5">
      <c r="A352" s="434"/>
      <c r="B352" s="485" t="s">
        <v>980</v>
      </c>
      <c r="C352" s="324"/>
      <c r="D352" s="445"/>
      <c r="E352" s="299">
        <v>955929.89</v>
      </c>
      <c r="F352" s="27"/>
      <c r="G352" s="299">
        <v>16044</v>
      </c>
      <c r="H352" s="445"/>
      <c r="I352" s="26">
        <f>K352-G352</f>
        <v>196390</v>
      </c>
      <c r="J352" s="445"/>
      <c r="K352" s="314">
        <v>212434</v>
      </c>
      <c r="L352" s="445"/>
      <c r="M352" s="316">
        <v>0</v>
      </c>
      <c r="N352" s="445"/>
      <c r="O352" s="316">
        <f t="shared" si="80"/>
        <v>-212434</v>
      </c>
    </row>
    <row r="353" spans="1:15" ht="13.5">
      <c r="A353" s="434"/>
      <c r="B353" s="485" t="s">
        <v>678</v>
      </c>
      <c r="C353" s="324"/>
      <c r="D353" s="445"/>
      <c r="E353" s="299">
        <v>1398667.62</v>
      </c>
      <c r="F353" s="27"/>
      <c r="G353" s="299">
        <v>0</v>
      </c>
      <c r="H353" s="445"/>
      <c r="I353" s="26">
        <f>K353-G353</f>
        <v>0</v>
      </c>
      <c r="J353" s="445"/>
      <c r="K353" s="314">
        <v>0</v>
      </c>
      <c r="L353" s="445"/>
      <c r="M353" s="316">
        <v>0</v>
      </c>
      <c r="N353" s="445"/>
      <c r="O353" s="316">
        <f t="shared" si="80"/>
        <v>0</v>
      </c>
    </row>
    <row r="354" spans="1:15" ht="13.5">
      <c r="A354" s="434"/>
      <c r="B354" s="485" t="s">
        <v>664</v>
      </c>
      <c r="C354" s="324"/>
      <c r="D354" s="445"/>
      <c r="E354" s="299">
        <v>823381.06</v>
      </c>
      <c r="F354" s="27"/>
      <c r="G354" s="299">
        <v>97000</v>
      </c>
      <c r="H354" s="445"/>
      <c r="I354" s="26">
        <f>K354-G354</f>
        <v>1546000</v>
      </c>
      <c r="J354" s="445"/>
      <c r="K354" s="314">
        <v>1643000</v>
      </c>
      <c r="L354" s="445"/>
      <c r="M354" s="316">
        <v>0</v>
      </c>
      <c r="N354" s="445"/>
      <c r="O354" s="316">
        <f t="shared" si="80"/>
        <v>-1643000</v>
      </c>
    </row>
    <row r="355" spans="1:15" ht="13.5">
      <c r="A355" s="461" t="s">
        <v>647</v>
      </c>
      <c r="B355" s="488"/>
      <c r="C355" s="324"/>
      <c r="D355" s="445"/>
      <c r="E355" s="299"/>
      <c r="F355" s="27"/>
      <c r="G355" s="299"/>
      <c r="H355" s="445"/>
      <c r="I355" s="26"/>
      <c r="J355" s="445"/>
      <c r="K355" s="26"/>
      <c r="L355" s="445"/>
      <c r="M355" s="26"/>
      <c r="N355" s="445"/>
      <c r="O355" s="26"/>
    </row>
    <row r="356" spans="1:15" ht="13.5">
      <c r="A356" s="495" t="s">
        <v>645</v>
      </c>
      <c r="B356" s="446"/>
      <c r="C356" s="324"/>
      <c r="D356" s="445"/>
      <c r="E356" s="299"/>
      <c r="F356" s="27"/>
      <c r="G356" s="299"/>
      <c r="H356" s="445"/>
      <c r="I356" s="26"/>
      <c r="J356" s="445"/>
      <c r="K356" s="26"/>
      <c r="L356" s="445"/>
      <c r="M356" s="26"/>
      <c r="N356" s="445"/>
      <c r="O356" s="26"/>
    </row>
    <row r="357" spans="1:15" ht="13.5">
      <c r="A357" s="495" t="s">
        <v>588</v>
      </c>
      <c r="B357" s="446"/>
      <c r="C357" s="324" t="s">
        <v>148</v>
      </c>
      <c r="D357" s="445"/>
      <c r="E357" s="299"/>
      <c r="F357" s="27"/>
      <c r="G357" s="299"/>
      <c r="H357" s="445"/>
      <c r="I357" s="26"/>
      <c r="J357" s="445"/>
      <c r="K357" s="26"/>
      <c r="L357" s="445"/>
      <c r="M357" s="26"/>
      <c r="N357" s="445"/>
      <c r="O357" s="26"/>
    </row>
    <row r="358" spans="1:15" ht="13.5">
      <c r="A358" s="495" t="s">
        <v>589</v>
      </c>
      <c r="B358" s="446"/>
      <c r="C358" s="324"/>
      <c r="D358" s="445"/>
      <c r="E358" s="299">
        <v>878924.4</v>
      </c>
      <c r="F358" s="27"/>
      <c r="G358" s="299">
        <v>0</v>
      </c>
      <c r="H358" s="445"/>
      <c r="I358" s="26">
        <f>K358-G358</f>
        <v>1250000</v>
      </c>
      <c r="J358" s="445"/>
      <c r="K358" s="26">
        <v>1250000</v>
      </c>
      <c r="L358" s="445"/>
      <c r="M358" s="316">
        <v>1250000</v>
      </c>
      <c r="N358" s="445"/>
      <c r="O358" s="316">
        <f t="shared" ref="O358" si="81">M358-K358</f>
        <v>0</v>
      </c>
    </row>
    <row r="359" spans="1:15" ht="13.5">
      <c r="A359" s="461" t="s">
        <v>729</v>
      </c>
      <c r="B359" s="488"/>
      <c r="C359" s="324"/>
      <c r="D359" s="445"/>
      <c r="E359" s="299"/>
      <c r="F359" s="27"/>
      <c r="G359" s="299"/>
      <c r="H359" s="445"/>
      <c r="I359" s="26"/>
      <c r="J359" s="445"/>
      <c r="K359" s="26"/>
      <c r="L359" s="445"/>
      <c r="M359" s="26"/>
      <c r="N359" s="445"/>
      <c r="O359" s="26"/>
    </row>
    <row r="360" spans="1:15" ht="13.5">
      <c r="A360" s="495" t="s">
        <v>882</v>
      </c>
      <c r="B360" s="446"/>
      <c r="C360" s="324"/>
      <c r="D360" s="445"/>
      <c r="E360" s="26"/>
      <c r="F360" s="27"/>
      <c r="G360" s="26"/>
      <c r="H360" s="445"/>
      <c r="I360" s="26"/>
      <c r="J360" s="445"/>
      <c r="K360" s="322"/>
      <c r="L360" s="445"/>
      <c r="M360" s="322"/>
      <c r="N360" s="445"/>
      <c r="O360" s="322">
        <v>0</v>
      </c>
    </row>
    <row r="361" spans="1:15" ht="13.5">
      <c r="A361" s="495" t="s">
        <v>714</v>
      </c>
      <c r="B361" s="446"/>
      <c r="C361" s="324"/>
      <c r="D361" s="445"/>
      <c r="E361" s="26"/>
      <c r="F361" s="27"/>
      <c r="G361" s="26"/>
      <c r="H361" s="445"/>
      <c r="I361" s="26"/>
      <c r="J361" s="445"/>
      <c r="K361" s="322"/>
      <c r="L361" s="445"/>
      <c r="M361" s="322"/>
      <c r="N361" s="445"/>
      <c r="O361" s="322"/>
    </row>
    <row r="362" spans="1:15" ht="13.5">
      <c r="A362" s="495" t="s">
        <v>54</v>
      </c>
      <c r="B362" s="496" t="s">
        <v>517</v>
      </c>
      <c r="C362" s="324" t="s">
        <v>126</v>
      </c>
      <c r="D362" s="445"/>
      <c r="E362" s="299">
        <v>91000</v>
      </c>
      <c r="F362" s="27"/>
      <c r="G362" s="299">
        <v>18000</v>
      </c>
      <c r="H362" s="445"/>
      <c r="I362" s="26">
        <f t="shared" ref="I362:I370" si="82">K362-G362</f>
        <v>102000</v>
      </c>
      <c r="J362" s="445"/>
      <c r="K362" s="322">
        <v>120000</v>
      </c>
      <c r="L362" s="445"/>
      <c r="M362" s="316">
        <v>120000</v>
      </c>
      <c r="N362" s="445"/>
      <c r="O362" s="316">
        <f t="shared" ref="O362:O365" si="83">M362-K362</f>
        <v>0</v>
      </c>
    </row>
    <row r="363" spans="1:15" ht="13.5">
      <c r="A363" s="495"/>
      <c r="B363" s="496" t="s">
        <v>518</v>
      </c>
      <c r="C363" s="324" t="s">
        <v>127</v>
      </c>
      <c r="D363" s="445"/>
      <c r="E363" s="299">
        <v>24750</v>
      </c>
      <c r="F363" s="27"/>
      <c r="G363" s="299">
        <v>0</v>
      </c>
      <c r="H363" s="445"/>
      <c r="I363" s="26">
        <f t="shared" si="82"/>
        <v>50000</v>
      </c>
      <c r="J363" s="445"/>
      <c r="K363" s="322">
        <v>50000</v>
      </c>
      <c r="L363" s="445"/>
      <c r="M363" s="316">
        <v>50000</v>
      </c>
      <c r="N363" s="445"/>
      <c r="O363" s="316">
        <f t="shared" si="83"/>
        <v>0</v>
      </c>
    </row>
    <row r="364" spans="1:15" ht="13.5">
      <c r="A364" s="495"/>
      <c r="B364" s="496" t="s">
        <v>715</v>
      </c>
      <c r="C364" s="324" t="s">
        <v>128</v>
      </c>
      <c r="D364" s="445"/>
      <c r="E364" s="299">
        <v>20250</v>
      </c>
      <c r="F364" s="27"/>
      <c r="G364" s="299">
        <v>0</v>
      </c>
      <c r="H364" s="445"/>
      <c r="I364" s="26">
        <f t="shared" si="82"/>
        <v>30000</v>
      </c>
      <c r="J364" s="445"/>
      <c r="K364" s="322">
        <v>30000</v>
      </c>
      <c r="L364" s="445"/>
      <c r="M364" s="316">
        <v>30000</v>
      </c>
      <c r="N364" s="445"/>
      <c r="O364" s="316">
        <f t="shared" si="83"/>
        <v>0</v>
      </c>
    </row>
    <row r="365" spans="1:15" ht="13.5">
      <c r="A365" s="495"/>
      <c r="B365" s="496" t="s">
        <v>716</v>
      </c>
      <c r="C365" s="324" t="s">
        <v>174</v>
      </c>
      <c r="D365" s="445"/>
      <c r="E365" s="299">
        <v>63954</v>
      </c>
      <c r="F365" s="27"/>
      <c r="G365" s="299">
        <v>15080</v>
      </c>
      <c r="H365" s="445"/>
      <c r="I365" s="26">
        <f t="shared" si="82"/>
        <v>144920</v>
      </c>
      <c r="J365" s="445"/>
      <c r="K365" s="322">
        <v>160000</v>
      </c>
      <c r="L365" s="445"/>
      <c r="M365" s="316">
        <v>160000</v>
      </c>
      <c r="N365" s="445"/>
      <c r="O365" s="316">
        <f t="shared" si="83"/>
        <v>0</v>
      </c>
    </row>
    <row r="366" spans="1:15" ht="13.5">
      <c r="A366" s="495"/>
      <c r="B366" s="496" t="s">
        <v>1093</v>
      </c>
      <c r="C366" s="324"/>
      <c r="D366" s="445"/>
      <c r="E366" s="299">
        <v>164</v>
      </c>
      <c r="F366" s="27"/>
      <c r="G366" s="299"/>
      <c r="H366" s="445"/>
      <c r="I366" s="26"/>
      <c r="J366" s="445"/>
      <c r="K366" s="322"/>
      <c r="L366" s="445"/>
      <c r="M366" s="316"/>
      <c r="N366" s="445"/>
      <c r="O366" s="316"/>
    </row>
    <row r="367" spans="1:15" ht="13.5">
      <c r="A367" s="495"/>
      <c r="B367" s="496" t="s">
        <v>312</v>
      </c>
      <c r="C367" s="324" t="s">
        <v>148</v>
      </c>
      <c r="D367" s="445"/>
      <c r="E367" s="26"/>
      <c r="F367" s="27"/>
      <c r="G367" s="26"/>
      <c r="H367" s="445"/>
      <c r="I367" s="26"/>
      <c r="J367" s="445"/>
      <c r="K367" s="322"/>
      <c r="L367" s="445"/>
      <c r="M367" s="322"/>
      <c r="N367" s="445"/>
      <c r="O367" s="322"/>
    </row>
    <row r="368" spans="1:15" ht="13.5">
      <c r="A368" s="495"/>
      <c r="B368" s="496" t="s">
        <v>717</v>
      </c>
      <c r="C368" s="324"/>
      <c r="D368" s="445"/>
      <c r="E368" s="299">
        <v>152000</v>
      </c>
      <c r="F368" s="27"/>
      <c r="G368" s="299">
        <v>150000</v>
      </c>
      <c r="H368" s="445"/>
      <c r="I368" s="26">
        <f t="shared" si="82"/>
        <v>190000</v>
      </c>
      <c r="J368" s="445"/>
      <c r="K368" s="322">
        <v>340000</v>
      </c>
      <c r="L368" s="445"/>
      <c r="M368" s="316">
        <v>340000</v>
      </c>
      <c r="N368" s="445"/>
      <c r="O368" s="316">
        <f t="shared" ref="O368:O370" si="84">M368-K368</f>
        <v>0</v>
      </c>
    </row>
    <row r="369" spans="1:16" ht="13.5">
      <c r="A369" s="495"/>
      <c r="B369" s="496" t="s">
        <v>718</v>
      </c>
      <c r="C369" s="324"/>
      <c r="D369" s="445"/>
      <c r="E369" s="299">
        <v>27000</v>
      </c>
      <c r="F369" s="27"/>
      <c r="G369" s="299">
        <v>0</v>
      </c>
      <c r="H369" s="445"/>
      <c r="I369" s="26">
        <f t="shared" si="82"/>
        <v>40000</v>
      </c>
      <c r="J369" s="445"/>
      <c r="K369" s="322">
        <v>40000</v>
      </c>
      <c r="L369" s="445"/>
      <c r="M369" s="316">
        <v>40000</v>
      </c>
      <c r="N369" s="445"/>
      <c r="O369" s="316">
        <f t="shared" si="84"/>
        <v>0</v>
      </c>
    </row>
    <row r="370" spans="1:16" ht="13.5">
      <c r="A370" s="495"/>
      <c r="B370" s="496" t="s">
        <v>719</v>
      </c>
      <c r="C370" s="324"/>
      <c r="D370" s="445"/>
      <c r="E370" s="299">
        <v>119500</v>
      </c>
      <c r="F370" s="27"/>
      <c r="G370" s="299">
        <v>152000</v>
      </c>
      <c r="H370" s="445"/>
      <c r="I370" s="26">
        <f t="shared" si="82"/>
        <v>0</v>
      </c>
      <c r="J370" s="445"/>
      <c r="K370" s="322">
        <v>152000</v>
      </c>
      <c r="L370" s="445"/>
      <c r="M370" s="316">
        <v>152000</v>
      </c>
      <c r="N370" s="445"/>
      <c r="O370" s="316">
        <f t="shared" si="84"/>
        <v>0</v>
      </c>
      <c r="P370" s="929">
        <v>762928</v>
      </c>
    </row>
    <row r="371" spans="1:16" ht="13.5">
      <c r="A371" s="461" t="s">
        <v>730</v>
      </c>
      <c r="B371" s="488"/>
      <c r="C371" s="324"/>
      <c r="D371" s="445"/>
      <c r="E371" s="299"/>
      <c r="F371" s="27"/>
      <c r="G371" s="299"/>
      <c r="H371" s="445"/>
      <c r="I371" s="26"/>
      <c r="J371" s="445"/>
      <c r="K371" s="26"/>
      <c r="L371" s="445"/>
      <c r="M371" s="26"/>
      <c r="N371" s="445"/>
      <c r="O371" s="26"/>
    </row>
    <row r="372" spans="1:16" ht="13.5">
      <c r="A372" s="495" t="s">
        <v>590</v>
      </c>
      <c r="B372" s="446"/>
      <c r="C372" s="324"/>
      <c r="D372" s="445"/>
      <c r="E372" s="299"/>
      <c r="F372" s="27"/>
      <c r="G372" s="299"/>
      <c r="H372" s="445"/>
      <c r="I372" s="299"/>
      <c r="J372" s="445"/>
      <c r="K372" s="322"/>
      <c r="L372" s="445"/>
      <c r="M372" s="322"/>
      <c r="N372" s="445"/>
      <c r="O372" s="322"/>
    </row>
    <row r="373" spans="1:16" ht="13.5">
      <c r="A373" s="495"/>
      <c r="B373" s="496" t="s">
        <v>706</v>
      </c>
      <c r="C373" s="324"/>
      <c r="D373" s="445"/>
      <c r="E373" s="299"/>
      <c r="F373" s="27"/>
      <c r="G373" s="299"/>
      <c r="H373" s="445"/>
      <c r="I373" s="299"/>
      <c r="J373" s="445"/>
      <c r="K373" s="322"/>
      <c r="L373" s="445"/>
      <c r="M373" s="322"/>
      <c r="N373" s="445"/>
      <c r="O373" s="322"/>
    </row>
    <row r="374" spans="1:16" ht="13.5">
      <c r="A374" s="495"/>
      <c r="B374" s="496" t="s">
        <v>670</v>
      </c>
      <c r="C374" s="324" t="s">
        <v>129</v>
      </c>
      <c r="D374" s="445"/>
      <c r="E374" s="299">
        <v>0</v>
      </c>
      <c r="F374" s="27"/>
      <c r="G374" s="299">
        <v>0</v>
      </c>
      <c r="H374" s="445"/>
      <c r="I374" s="26">
        <f t="shared" ref="I374:I375" si="85">K374-G374</f>
        <v>90000</v>
      </c>
      <c r="J374" s="445"/>
      <c r="K374" s="322">
        <v>90000</v>
      </c>
      <c r="L374" s="445"/>
      <c r="M374" s="316">
        <v>90000</v>
      </c>
      <c r="N374" s="445"/>
      <c r="O374" s="316">
        <f t="shared" ref="O374:O375" si="86">M374-K374</f>
        <v>0</v>
      </c>
    </row>
    <row r="375" spans="1:16" ht="13.5">
      <c r="A375" s="495"/>
      <c r="B375" s="496" t="s">
        <v>662</v>
      </c>
      <c r="C375" s="324" t="s">
        <v>174</v>
      </c>
      <c r="D375" s="445"/>
      <c r="E375" s="299">
        <v>0</v>
      </c>
      <c r="F375" s="27"/>
      <c r="G375" s="299">
        <v>0</v>
      </c>
      <c r="H375" s="445"/>
      <c r="I375" s="26">
        <f t="shared" si="85"/>
        <v>200000</v>
      </c>
      <c r="J375" s="445"/>
      <c r="K375" s="322">
        <v>200000</v>
      </c>
      <c r="L375" s="445"/>
      <c r="M375" s="316">
        <v>200000</v>
      </c>
      <c r="N375" s="445"/>
      <c r="O375" s="316">
        <f t="shared" si="86"/>
        <v>0</v>
      </c>
    </row>
    <row r="376" spans="1:16" ht="13.5">
      <c r="A376" s="495"/>
      <c r="B376" s="496" t="s">
        <v>707</v>
      </c>
      <c r="C376" s="324" t="s">
        <v>148</v>
      </c>
      <c r="D376" s="445"/>
      <c r="E376" s="299"/>
      <c r="F376" s="27"/>
      <c r="G376" s="299"/>
      <c r="H376" s="445"/>
      <c r="I376" s="299"/>
      <c r="J376" s="445"/>
      <c r="K376" s="322"/>
      <c r="L376" s="445"/>
      <c r="M376" s="322"/>
      <c r="N376" s="445"/>
      <c r="O376" s="322"/>
    </row>
    <row r="377" spans="1:16" ht="13.5">
      <c r="A377" s="495"/>
      <c r="B377" s="496" t="s">
        <v>708</v>
      </c>
      <c r="C377" s="324"/>
      <c r="D377" s="445"/>
      <c r="E377" s="299">
        <v>0</v>
      </c>
      <c r="F377" s="27"/>
      <c r="G377" s="299">
        <v>0</v>
      </c>
      <c r="H377" s="445"/>
      <c r="I377" s="26">
        <f t="shared" ref="I377:I378" si="87">K377-G377</f>
        <v>150000</v>
      </c>
      <c r="J377" s="445"/>
      <c r="K377" s="322">
        <v>150000</v>
      </c>
      <c r="L377" s="445"/>
      <c r="M377" s="316">
        <v>150000</v>
      </c>
      <c r="N377" s="445"/>
      <c r="O377" s="316">
        <f t="shared" ref="O377:O378" si="88">M377-K377</f>
        <v>0</v>
      </c>
    </row>
    <row r="378" spans="1:16" ht="13.5">
      <c r="A378" s="495"/>
      <c r="B378" s="496" t="s">
        <v>720</v>
      </c>
      <c r="C378" s="324"/>
      <c r="D378" s="445"/>
      <c r="E378" s="299">
        <v>0</v>
      </c>
      <c r="F378" s="27"/>
      <c r="G378" s="299">
        <v>0</v>
      </c>
      <c r="H378" s="445"/>
      <c r="I378" s="26">
        <f t="shared" si="87"/>
        <v>180000</v>
      </c>
      <c r="J378" s="445"/>
      <c r="K378" s="322">
        <v>180000</v>
      </c>
      <c r="L378" s="445"/>
      <c r="M378" s="316">
        <v>180000</v>
      </c>
      <c r="N378" s="445"/>
      <c r="O378" s="316">
        <f t="shared" si="88"/>
        <v>0</v>
      </c>
    </row>
    <row r="379" spans="1:16" ht="13.5">
      <c r="A379" s="495" t="s">
        <v>709</v>
      </c>
      <c r="B379" s="446"/>
      <c r="C379" s="324"/>
      <c r="D379" s="445"/>
      <c r="E379" s="299"/>
      <c r="F379" s="27"/>
      <c r="G379" s="299"/>
      <c r="H379" s="445"/>
      <c r="I379" s="26"/>
      <c r="J379" s="445"/>
      <c r="K379" s="26"/>
      <c r="L379" s="445"/>
      <c r="M379" s="26"/>
      <c r="N379" s="445"/>
      <c r="O379" s="26"/>
    </row>
    <row r="380" spans="1:16" ht="13.5">
      <c r="A380" s="495" t="s">
        <v>710</v>
      </c>
      <c r="B380" s="446"/>
      <c r="C380" s="324"/>
      <c r="D380" s="445"/>
      <c r="E380" s="299"/>
      <c r="F380" s="27"/>
      <c r="G380" s="299"/>
      <c r="H380" s="445"/>
      <c r="I380" s="26"/>
      <c r="J380" s="445"/>
      <c r="K380" s="26"/>
      <c r="L380" s="445"/>
      <c r="M380" s="26"/>
      <c r="N380" s="445"/>
      <c r="O380" s="26"/>
    </row>
    <row r="381" spans="1:16" ht="13.5">
      <c r="A381" s="495" t="s">
        <v>591</v>
      </c>
      <c r="B381" s="446"/>
      <c r="C381" s="324"/>
      <c r="D381" s="445"/>
      <c r="E381" s="299"/>
      <c r="F381" s="27"/>
      <c r="G381" s="299"/>
      <c r="H381" s="445"/>
      <c r="I381" s="26"/>
      <c r="J381" s="445"/>
      <c r="K381" s="26"/>
      <c r="L381" s="445"/>
      <c r="M381" s="26"/>
      <c r="N381" s="445"/>
      <c r="O381" s="26"/>
    </row>
    <row r="382" spans="1:16" ht="13.5">
      <c r="A382" s="495"/>
      <c r="B382" s="496" t="s">
        <v>840</v>
      </c>
      <c r="C382" s="324" t="s">
        <v>129</v>
      </c>
      <c r="D382" s="445"/>
      <c r="E382" s="299"/>
      <c r="F382" s="27"/>
      <c r="G382" s="299">
        <v>0</v>
      </c>
      <c r="H382" s="445"/>
      <c r="I382" s="26">
        <f>K382-G382</f>
        <v>4000</v>
      </c>
      <c r="J382" s="445"/>
      <c r="K382" s="26">
        <v>4000</v>
      </c>
      <c r="L382" s="445"/>
      <c r="M382" s="316">
        <v>4000</v>
      </c>
      <c r="N382" s="445"/>
      <c r="O382" s="316">
        <f t="shared" ref="O382:O383" si="89">M382-K382</f>
        <v>0</v>
      </c>
    </row>
    <row r="383" spans="1:16" ht="13.5">
      <c r="A383" s="495" t="s">
        <v>592</v>
      </c>
      <c r="B383" s="446"/>
      <c r="C383" s="324" t="s">
        <v>174</v>
      </c>
      <c r="D383" s="445"/>
      <c r="E383" s="299"/>
      <c r="F383" s="27"/>
      <c r="G383" s="299">
        <v>0</v>
      </c>
      <c r="H383" s="445"/>
      <c r="I383" s="26">
        <f>K383-G383</f>
        <v>10000</v>
      </c>
      <c r="J383" s="445"/>
      <c r="K383" s="323">
        <v>10000</v>
      </c>
      <c r="L383" s="445"/>
      <c r="M383" s="316">
        <v>40000</v>
      </c>
      <c r="N383" s="445"/>
      <c r="O383" s="316">
        <f t="shared" si="89"/>
        <v>30000</v>
      </c>
    </row>
    <row r="384" spans="1:16" ht="13.5">
      <c r="A384" s="495" t="s">
        <v>593</v>
      </c>
      <c r="B384" s="446"/>
      <c r="C384" s="324" t="s">
        <v>148</v>
      </c>
      <c r="D384" s="445"/>
      <c r="E384" s="299"/>
      <c r="F384" s="27"/>
      <c r="G384" s="299"/>
      <c r="H384" s="445"/>
      <c r="I384" s="26"/>
      <c r="J384" s="445"/>
      <c r="K384" s="323"/>
      <c r="L384" s="445"/>
      <c r="M384" s="323"/>
      <c r="N384" s="445"/>
      <c r="O384" s="323"/>
    </row>
    <row r="385" spans="1:15" ht="13.5">
      <c r="A385" s="495"/>
      <c r="B385" s="496" t="s">
        <v>599</v>
      </c>
      <c r="C385" s="324"/>
      <c r="D385" s="445"/>
      <c r="E385" s="299"/>
      <c r="F385" s="27"/>
      <c r="G385" s="299">
        <v>5000</v>
      </c>
      <c r="H385" s="445"/>
      <c r="I385" s="26">
        <f>K385-G385</f>
        <v>0</v>
      </c>
      <c r="J385" s="445"/>
      <c r="K385" s="323">
        <v>5000</v>
      </c>
      <c r="L385" s="445"/>
      <c r="M385" s="316">
        <v>69000</v>
      </c>
      <c r="N385" s="445"/>
      <c r="O385" s="316">
        <f t="shared" ref="O385:O387" si="90">M385-K385</f>
        <v>64000</v>
      </c>
    </row>
    <row r="386" spans="1:15" ht="13.5">
      <c r="A386" s="495"/>
      <c r="B386" s="496" t="s">
        <v>721</v>
      </c>
      <c r="C386" s="324"/>
      <c r="D386" s="445"/>
      <c r="E386" s="299"/>
      <c r="F386" s="27"/>
      <c r="G386" s="299">
        <v>63700</v>
      </c>
      <c r="H386" s="445"/>
      <c r="I386" s="26">
        <f>K386-G386</f>
        <v>2300</v>
      </c>
      <c r="J386" s="445"/>
      <c r="K386" s="323">
        <v>66000</v>
      </c>
      <c r="L386" s="445"/>
      <c r="M386" s="316">
        <v>66000</v>
      </c>
      <c r="N386" s="445"/>
      <c r="O386" s="316">
        <f t="shared" si="90"/>
        <v>0</v>
      </c>
    </row>
    <row r="387" spans="1:15" ht="13.5">
      <c r="A387" s="495"/>
      <c r="B387" s="496" t="s">
        <v>731</v>
      </c>
      <c r="C387" s="324"/>
      <c r="D387" s="445"/>
      <c r="E387" s="299"/>
      <c r="F387" s="27"/>
      <c r="G387" s="299">
        <v>0</v>
      </c>
      <c r="H387" s="445"/>
      <c r="I387" s="26">
        <f>K387-G387</f>
        <v>35000</v>
      </c>
      <c r="J387" s="445"/>
      <c r="K387" s="323">
        <v>35000</v>
      </c>
      <c r="L387" s="445"/>
      <c r="M387" s="316">
        <v>35000</v>
      </c>
      <c r="N387" s="445"/>
      <c r="O387" s="316">
        <f t="shared" si="90"/>
        <v>0</v>
      </c>
    </row>
    <row r="388" spans="1:15" ht="13.5">
      <c r="A388" s="495" t="s">
        <v>711</v>
      </c>
      <c r="B388" s="446"/>
      <c r="C388" s="324"/>
      <c r="D388" s="445"/>
      <c r="E388" s="299"/>
      <c r="F388" s="27"/>
      <c r="G388" s="299"/>
      <c r="H388" s="445"/>
      <c r="I388" s="26"/>
      <c r="J388" s="445"/>
      <c r="K388" s="26"/>
      <c r="L388" s="445"/>
      <c r="M388" s="26"/>
      <c r="N388" s="445"/>
      <c r="O388" s="26"/>
    </row>
    <row r="389" spans="1:15" ht="13.5">
      <c r="A389" s="495" t="s">
        <v>591</v>
      </c>
      <c r="B389" s="446"/>
      <c r="C389" s="324"/>
      <c r="D389" s="445"/>
      <c r="E389" s="299"/>
      <c r="F389" s="27"/>
      <c r="G389" s="299"/>
      <c r="H389" s="445"/>
      <c r="I389" s="26"/>
      <c r="J389" s="445"/>
      <c r="K389" s="26"/>
      <c r="L389" s="445"/>
      <c r="M389" s="26"/>
      <c r="N389" s="445"/>
      <c r="O389" s="26"/>
    </row>
    <row r="390" spans="1:15" ht="13.5">
      <c r="A390" s="495"/>
      <c r="B390" s="496" t="s">
        <v>840</v>
      </c>
      <c r="C390" s="324" t="s">
        <v>129</v>
      </c>
      <c r="D390" s="445"/>
      <c r="E390" s="299">
        <v>0</v>
      </c>
      <c r="F390" s="27"/>
      <c r="G390" s="299">
        <v>0</v>
      </c>
      <c r="H390" s="445"/>
      <c r="I390" s="26">
        <f>K390-G390</f>
        <v>10000</v>
      </c>
      <c r="J390" s="445"/>
      <c r="K390" s="26">
        <v>10000</v>
      </c>
      <c r="L390" s="445"/>
      <c r="M390" s="316">
        <v>10000</v>
      </c>
      <c r="N390" s="450"/>
      <c r="O390" s="713">
        <f t="shared" ref="O390:O395" si="91">M390-K390</f>
        <v>0</v>
      </c>
    </row>
    <row r="391" spans="1:15" ht="13.5">
      <c r="A391" s="495" t="s">
        <v>592</v>
      </c>
      <c r="B391" s="446"/>
      <c r="C391" s="324" t="s">
        <v>174</v>
      </c>
      <c r="D391" s="445"/>
      <c r="E391" s="299">
        <v>26080</v>
      </c>
      <c r="F391" s="27"/>
      <c r="G391" s="299">
        <v>0</v>
      </c>
      <c r="H391" s="445"/>
      <c r="I391" s="26">
        <f>K391-G391</f>
        <v>35000</v>
      </c>
      <c r="J391" s="445"/>
      <c r="K391" s="323">
        <v>35000</v>
      </c>
      <c r="L391" s="445"/>
      <c r="M391" s="316">
        <v>35000</v>
      </c>
      <c r="N391" s="445"/>
      <c r="O391" s="316">
        <f t="shared" si="91"/>
        <v>0</v>
      </c>
    </row>
    <row r="392" spans="1:15" ht="13.5">
      <c r="A392" s="891" t="s">
        <v>593</v>
      </c>
      <c r="B392" s="894"/>
      <c r="C392" s="326" t="s">
        <v>148</v>
      </c>
      <c r="D392" s="450"/>
      <c r="E392" s="302"/>
      <c r="F392" s="60"/>
      <c r="G392" s="302"/>
      <c r="H392" s="450"/>
      <c r="I392" s="31"/>
      <c r="J392" s="450"/>
      <c r="K392" s="895"/>
      <c r="L392" s="450"/>
      <c r="M392" s="895"/>
      <c r="N392" s="445"/>
      <c r="O392" s="316">
        <f t="shared" si="91"/>
        <v>0</v>
      </c>
    </row>
    <row r="393" spans="1:15" ht="13.5">
      <c r="A393" s="495"/>
      <c r="B393" s="496" t="s">
        <v>599</v>
      </c>
      <c r="C393" s="324"/>
      <c r="D393" s="445"/>
      <c r="E393" s="299">
        <v>10000</v>
      </c>
      <c r="F393" s="27"/>
      <c r="G393" s="299">
        <v>5000</v>
      </c>
      <c r="H393" s="445"/>
      <c r="I393" s="26">
        <f>K393-G393</f>
        <v>5000</v>
      </c>
      <c r="J393" s="445"/>
      <c r="K393" s="323">
        <v>10000</v>
      </c>
      <c r="L393" s="445"/>
      <c r="M393" s="316">
        <v>10000</v>
      </c>
      <c r="N393" s="445"/>
      <c r="O393" s="316">
        <f t="shared" si="91"/>
        <v>0</v>
      </c>
    </row>
    <row r="394" spans="1:15" ht="13.5">
      <c r="A394" s="495"/>
      <c r="B394" s="496" t="s">
        <v>721</v>
      </c>
      <c r="C394" s="324"/>
      <c r="D394" s="445"/>
      <c r="E394" s="299">
        <v>30000</v>
      </c>
      <c r="F394" s="27"/>
      <c r="G394" s="299">
        <v>0</v>
      </c>
      <c r="H394" s="445"/>
      <c r="I394" s="26">
        <f>K394-G394</f>
        <v>31200</v>
      </c>
      <c r="J394" s="445"/>
      <c r="K394" s="323">
        <v>31200</v>
      </c>
      <c r="L394" s="445"/>
      <c r="M394" s="316">
        <v>31200</v>
      </c>
      <c r="N394" s="445"/>
      <c r="O394" s="316">
        <f t="shared" si="91"/>
        <v>0</v>
      </c>
    </row>
    <row r="395" spans="1:15" ht="13.5">
      <c r="A395" s="495"/>
      <c r="B395" s="496" t="s">
        <v>722</v>
      </c>
      <c r="C395" s="324"/>
      <c r="D395" s="445"/>
      <c r="E395" s="299">
        <v>22500</v>
      </c>
      <c r="F395" s="27"/>
      <c r="G395" s="299">
        <v>0</v>
      </c>
      <c r="H395" s="445"/>
      <c r="I395" s="26">
        <f>K395-G395</f>
        <v>23800</v>
      </c>
      <c r="J395" s="445"/>
      <c r="K395" s="323">
        <v>23800</v>
      </c>
      <c r="L395" s="445"/>
      <c r="M395" s="316">
        <v>23800</v>
      </c>
      <c r="N395" s="445"/>
      <c r="O395" s="316">
        <f t="shared" si="91"/>
        <v>0</v>
      </c>
    </row>
    <row r="396" spans="1:15" ht="13.5">
      <c r="A396" s="495" t="s">
        <v>1371</v>
      </c>
      <c r="B396" s="446"/>
      <c r="C396" s="324"/>
      <c r="D396" s="445"/>
      <c r="E396" s="299"/>
      <c r="F396" s="27"/>
      <c r="G396" s="299"/>
      <c r="H396" s="445"/>
      <c r="I396" s="26"/>
      <c r="J396" s="445"/>
      <c r="K396" s="26"/>
      <c r="L396" s="445"/>
      <c r="M396" s="26"/>
      <c r="N396" s="445"/>
      <c r="O396" s="26"/>
    </row>
    <row r="397" spans="1:15" ht="13.5">
      <c r="A397" s="495" t="s">
        <v>591</v>
      </c>
      <c r="B397" s="446"/>
      <c r="C397" s="324"/>
      <c r="D397" s="445"/>
      <c r="E397" s="299"/>
      <c r="F397" s="27"/>
      <c r="G397" s="299"/>
      <c r="H397" s="445"/>
      <c r="I397" s="26"/>
      <c r="J397" s="445"/>
      <c r="K397" s="26"/>
      <c r="L397" s="445"/>
      <c r="M397" s="26"/>
      <c r="N397" s="445"/>
      <c r="O397" s="26"/>
    </row>
    <row r="398" spans="1:15" ht="13.5">
      <c r="A398" s="495" t="s">
        <v>593</v>
      </c>
      <c r="B398" s="446"/>
      <c r="C398" s="324" t="s">
        <v>148</v>
      </c>
      <c r="D398" s="445"/>
      <c r="E398" s="299"/>
      <c r="F398" s="27"/>
      <c r="G398" s="299"/>
      <c r="H398" s="445"/>
      <c r="I398" s="26"/>
      <c r="J398" s="445"/>
      <c r="K398" s="323"/>
      <c r="L398" s="445"/>
      <c r="M398" s="323"/>
      <c r="N398" s="445"/>
      <c r="O398" s="323"/>
    </row>
    <row r="399" spans="1:15" ht="13.5">
      <c r="A399" s="495"/>
      <c r="B399" s="496" t="s">
        <v>564</v>
      </c>
      <c r="C399" s="324"/>
      <c r="D399" s="445"/>
      <c r="E399" s="299">
        <v>0</v>
      </c>
      <c r="F399" s="27"/>
      <c r="G399" s="299">
        <v>1600</v>
      </c>
      <c r="H399" s="445"/>
      <c r="I399" s="26">
        <f>K399-G399</f>
        <v>38400</v>
      </c>
      <c r="J399" s="445"/>
      <c r="K399" s="323">
        <v>40000</v>
      </c>
      <c r="L399" s="445"/>
      <c r="M399" s="316">
        <v>25000</v>
      </c>
      <c r="N399" s="445"/>
      <c r="O399" s="316">
        <f t="shared" ref="O399:O400" si="92">M399-K399</f>
        <v>-15000</v>
      </c>
    </row>
    <row r="400" spans="1:15" ht="13.5">
      <c r="A400" s="495"/>
      <c r="B400" s="496" t="s">
        <v>843</v>
      </c>
      <c r="C400" s="324"/>
      <c r="D400" s="445"/>
      <c r="E400" s="299">
        <v>7200</v>
      </c>
      <c r="F400" s="27"/>
      <c r="G400" s="299">
        <v>0</v>
      </c>
      <c r="H400" s="445"/>
      <c r="I400" s="26">
        <f>K400-G400</f>
        <v>14000</v>
      </c>
      <c r="J400" s="445"/>
      <c r="K400" s="323">
        <v>14000</v>
      </c>
      <c r="L400" s="445"/>
      <c r="M400" s="316">
        <v>8000</v>
      </c>
      <c r="N400" s="445"/>
      <c r="O400" s="316">
        <f t="shared" si="92"/>
        <v>-6000</v>
      </c>
    </row>
    <row r="401" spans="1:17" ht="13.5">
      <c r="A401" s="495" t="s">
        <v>712</v>
      </c>
      <c r="B401" s="446"/>
      <c r="C401" s="324"/>
      <c r="D401" s="445"/>
      <c r="E401" s="299"/>
      <c r="F401" s="27"/>
      <c r="G401" s="299"/>
      <c r="H401" s="445"/>
      <c r="I401" s="26"/>
      <c r="J401" s="445"/>
      <c r="K401" s="26"/>
      <c r="L401" s="445"/>
      <c r="M401" s="26"/>
      <c r="N401" s="445"/>
      <c r="O401" s="26"/>
    </row>
    <row r="402" spans="1:17" ht="13.5">
      <c r="A402" s="495" t="s">
        <v>591</v>
      </c>
      <c r="B402" s="446"/>
      <c r="C402" s="324"/>
      <c r="D402" s="445"/>
      <c r="E402" s="299"/>
      <c r="F402" s="27"/>
      <c r="G402" s="299"/>
      <c r="H402" s="445"/>
      <c r="I402" s="26"/>
      <c r="J402" s="445"/>
      <c r="K402" s="26"/>
      <c r="L402" s="445"/>
      <c r="M402" s="26"/>
      <c r="N402" s="445"/>
      <c r="O402" s="26"/>
    </row>
    <row r="403" spans="1:17" ht="13.5">
      <c r="A403" s="495"/>
      <c r="B403" s="496" t="s">
        <v>842</v>
      </c>
      <c r="C403" s="324" t="s">
        <v>126</v>
      </c>
      <c r="D403" s="445"/>
      <c r="E403" s="299">
        <v>0</v>
      </c>
      <c r="F403" s="27"/>
      <c r="G403" s="299">
        <v>0</v>
      </c>
      <c r="H403" s="445"/>
      <c r="I403" s="26">
        <f t="shared" ref="I403:I404" si="93">K403-G403</f>
        <v>20000</v>
      </c>
      <c r="J403" s="445"/>
      <c r="K403" s="26">
        <v>20000</v>
      </c>
      <c r="L403" s="445"/>
      <c r="M403" s="316">
        <v>40000</v>
      </c>
      <c r="N403" s="445"/>
      <c r="O403" s="316">
        <f t="shared" ref="O403:O404" si="94">M403-K403</f>
        <v>20000</v>
      </c>
    </row>
    <row r="404" spans="1:17" ht="13.5">
      <c r="A404" s="495"/>
      <c r="B404" s="496" t="s">
        <v>841</v>
      </c>
      <c r="C404" s="324" t="s">
        <v>127</v>
      </c>
      <c r="D404" s="445"/>
      <c r="E404" s="299">
        <v>25400</v>
      </c>
      <c r="F404" s="27"/>
      <c r="G404" s="299">
        <v>0</v>
      </c>
      <c r="H404" s="445"/>
      <c r="I404" s="26">
        <f t="shared" si="93"/>
        <v>40000</v>
      </c>
      <c r="J404" s="445"/>
      <c r="K404" s="26">
        <v>40000</v>
      </c>
      <c r="L404" s="445"/>
      <c r="M404" s="316">
        <v>40000</v>
      </c>
      <c r="N404" s="445"/>
      <c r="O404" s="316">
        <f t="shared" si="94"/>
        <v>0</v>
      </c>
    </row>
    <row r="405" spans="1:17" ht="13.5">
      <c r="A405" s="495" t="s">
        <v>593</v>
      </c>
      <c r="B405" s="446"/>
      <c r="C405" s="324" t="s">
        <v>148</v>
      </c>
      <c r="D405" s="445"/>
      <c r="E405" s="299"/>
      <c r="F405" s="27"/>
      <c r="G405" s="299"/>
      <c r="H405" s="445"/>
      <c r="I405" s="26"/>
      <c r="J405" s="445"/>
      <c r="K405" s="323"/>
      <c r="L405" s="445"/>
      <c r="M405" s="323"/>
      <c r="N405" s="445"/>
      <c r="O405" s="323">
        <v>0</v>
      </c>
    </row>
    <row r="406" spans="1:17" ht="13.5">
      <c r="A406" s="495"/>
      <c r="B406" s="496" t="s">
        <v>723</v>
      </c>
      <c r="C406" s="324"/>
      <c r="D406" s="445"/>
      <c r="E406" s="299">
        <v>36100</v>
      </c>
      <c r="F406" s="27"/>
      <c r="G406" s="299">
        <v>15000</v>
      </c>
      <c r="H406" s="445"/>
      <c r="I406" s="26">
        <f>K406-G406</f>
        <v>32000</v>
      </c>
      <c r="J406" s="445"/>
      <c r="K406" s="323">
        <v>47000</v>
      </c>
      <c r="L406" s="445"/>
      <c r="M406" s="316">
        <v>47800</v>
      </c>
      <c r="N406" s="445"/>
      <c r="O406" s="316">
        <f t="shared" ref="O406:O407" si="95">M406-K406</f>
        <v>800</v>
      </c>
    </row>
    <row r="407" spans="1:17" ht="13.5">
      <c r="A407" s="495"/>
      <c r="B407" s="496" t="s">
        <v>526</v>
      </c>
      <c r="C407" s="324"/>
      <c r="D407" s="445"/>
      <c r="E407" s="299">
        <v>93000</v>
      </c>
      <c r="F407" s="27"/>
      <c r="G407" s="299">
        <v>50000</v>
      </c>
      <c r="H407" s="445"/>
      <c r="I407" s="26">
        <f>K407-G407</f>
        <v>70000</v>
      </c>
      <c r="J407" s="445"/>
      <c r="K407" s="26">
        <v>120000</v>
      </c>
      <c r="L407" s="445"/>
      <c r="M407" s="316">
        <v>120000</v>
      </c>
      <c r="N407" s="445"/>
      <c r="O407" s="316">
        <f t="shared" si="95"/>
        <v>0</v>
      </c>
      <c r="P407" s="934">
        <f>SUM(O382:O407)</f>
        <v>93800</v>
      </c>
    </row>
    <row r="408" spans="1:17" s="417" customFormat="1" ht="12.6" customHeight="1">
      <c r="A408" s="458" t="s">
        <v>1372</v>
      </c>
      <c r="B408" s="430"/>
      <c r="C408" s="443"/>
      <c r="D408" s="445"/>
      <c r="E408" s="26"/>
      <c r="F408" s="445"/>
      <c r="G408" s="26"/>
      <c r="H408" s="445"/>
      <c r="I408" s="26"/>
      <c r="J408" s="445"/>
      <c r="K408" s="26"/>
      <c r="L408" s="445"/>
      <c r="M408" s="26"/>
      <c r="P408" s="935"/>
      <c r="Q408" s="935"/>
    </row>
    <row r="409" spans="1:17" s="417" customFormat="1" ht="12.6" customHeight="1">
      <c r="A409" s="458" t="s">
        <v>1373</v>
      </c>
      <c r="B409" s="430"/>
      <c r="C409" s="443"/>
      <c r="D409" s="445"/>
      <c r="E409" s="26"/>
      <c r="F409" s="445"/>
      <c r="G409" s="26"/>
      <c r="H409" s="445"/>
      <c r="I409" s="26"/>
      <c r="J409" s="445"/>
      <c r="K409" s="26"/>
      <c r="L409" s="445"/>
      <c r="M409" s="26"/>
      <c r="P409" s="935"/>
      <c r="Q409" s="935"/>
    </row>
    <row r="410" spans="1:17" s="417" customFormat="1" ht="12.6" customHeight="1">
      <c r="A410" s="434" t="s">
        <v>606</v>
      </c>
      <c r="B410" s="430"/>
      <c r="C410" s="443"/>
      <c r="D410" s="445"/>
      <c r="E410" s="26"/>
      <c r="F410" s="445"/>
      <c r="G410" s="26"/>
      <c r="H410" s="445"/>
      <c r="I410" s="26"/>
      <c r="J410" s="445"/>
      <c r="K410" s="26"/>
      <c r="L410" s="445"/>
      <c r="M410" s="26"/>
      <c r="P410" s="935"/>
      <c r="Q410" s="935"/>
    </row>
    <row r="411" spans="1:17" s="417" customFormat="1" ht="12.6" customHeight="1">
      <c r="A411" s="434"/>
      <c r="B411" s="430" t="s">
        <v>596</v>
      </c>
      <c r="C411" s="443" t="s">
        <v>128</v>
      </c>
      <c r="D411" s="445"/>
      <c r="E411" s="26">
        <v>0</v>
      </c>
      <c r="F411" s="445"/>
      <c r="G411" s="26">
        <v>0</v>
      </c>
      <c r="H411" s="445"/>
      <c r="I411" s="299">
        <f t="shared" ref="I411" si="96">K411-G411</f>
        <v>0</v>
      </c>
      <c r="J411" s="445"/>
      <c r="K411" s="26">
        <v>0</v>
      </c>
      <c r="L411" s="445"/>
      <c r="M411" s="26">
        <v>15000</v>
      </c>
      <c r="P411" s="935"/>
      <c r="Q411" s="935"/>
    </row>
    <row r="412" spans="1:17" s="417" customFormat="1" ht="12.6" customHeight="1">
      <c r="A412" s="434"/>
      <c r="B412" s="430" t="s">
        <v>524</v>
      </c>
      <c r="C412" s="443" t="s">
        <v>148</v>
      </c>
      <c r="D412" s="445"/>
      <c r="E412" s="26"/>
      <c r="F412" s="445"/>
      <c r="G412" s="26"/>
      <c r="H412" s="445"/>
      <c r="I412" s="299"/>
      <c r="J412" s="445"/>
      <c r="K412" s="26"/>
      <c r="L412" s="445"/>
      <c r="M412" s="26"/>
      <c r="P412" s="935"/>
      <c r="Q412" s="935"/>
    </row>
    <row r="413" spans="1:17" s="417" customFormat="1" ht="12.6" customHeight="1">
      <c r="A413" s="434"/>
      <c r="B413" s="430" t="s">
        <v>770</v>
      </c>
      <c r="C413" s="443"/>
      <c r="D413" s="445"/>
      <c r="E413" s="26">
        <v>0</v>
      </c>
      <c r="F413" s="445"/>
      <c r="G413" s="26">
        <v>0</v>
      </c>
      <c r="H413" s="445"/>
      <c r="I413" s="299">
        <f t="shared" ref="I413:I414" si="97">K413-G413</f>
        <v>0</v>
      </c>
      <c r="J413" s="445"/>
      <c r="K413" s="26">
        <v>0</v>
      </c>
      <c r="L413" s="445"/>
      <c r="M413" s="26">
        <v>37500</v>
      </c>
      <c r="P413" s="935"/>
      <c r="Q413" s="935"/>
    </row>
    <row r="414" spans="1:17" s="417" customFormat="1" ht="12.6" customHeight="1">
      <c r="A414" s="434"/>
      <c r="B414" s="430" t="s">
        <v>1234</v>
      </c>
      <c r="C414" s="443"/>
      <c r="D414" s="445"/>
      <c r="E414" s="26">
        <v>0</v>
      </c>
      <c r="F414" s="445"/>
      <c r="G414" s="26">
        <v>0</v>
      </c>
      <c r="H414" s="445"/>
      <c r="I414" s="299">
        <f t="shared" si="97"/>
        <v>0</v>
      </c>
      <c r="J414" s="445"/>
      <c r="K414" s="26">
        <v>0</v>
      </c>
      <c r="L414" s="445"/>
      <c r="M414" s="26">
        <v>10000</v>
      </c>
      <c r="P414" s="935"/>
      <c r="Q414" s="935"/>
    </row>
    <row r="415" spans="1:17" s="417" customFormat="1" ht="12.6" customHeight="1">
      <c r="A415" s="458" t="s">
        <v>1374</v>
      </c>
      <c r="B415" s="430"/>
      <c r="C415" s="443"/>
      <c r="D415" s="445"/>
      <c r="E415" s="26"/>
      <c r="F415" s="445"/>
      <c r="G415" s="26"/>
      <c r="H415" s="445"/>
      <c r="I415" s="26"/>
      <c r="J415" s="445"/>
      <c r="K415" s="26"/>
      <c r="L415" s="445"/>
      <c r="M415" s="26"/>
      <c r="P415" s="935"/>
      <c r="Q415" s="935"/>
    </row>
    <row r="416" spans="1:17" s="417" customFormat="1" ht="12.6" customHeight="1">
      <c r="A416" s="434" t="s">
        <v>606</v>
      </c>
      <c r="B416" s="430"/>
      <c r="C416" s="443"/>
      <c r="D416" s="445"/>
      <c r="E416" s="26"/>
      <c r="F416" s="445"/>
      <c r="G416" s="26"/>
      <c r="H416" s="445"/>
      <c r="I416" s="26"/>
      <c r="J416" s="445"/>
      <c r="K416" s="26"/>
      <c r="L416" s="445"/>
      <c r="M416" s="26"/>
      <c r="P416" s="935"/>
      <c r="Q416" s="935"/>
    </row>
    <row r="417" spans="1:17" s="417" customFormat="1" ht="12.6" customHeight="1">
      <c r="A417" s="434"/>
      <c r="B417" s="430" t="s">
        <v>596</v>
      </c>
      <c r="C417" s="443" t="s">
        <v>128</v>
      </c>
      <c r="D417" s="445"/>
      <c r="E417" s="26">
        <v>0</v>
      </c>
      <c r="F417" s="445"/>
      <c r="G417" s="26">
        <v>0</v>
      </c>
      <c r="H417" s="445"/>
      <c r="I417" s="299">
        <f t="shared" ref="I417" si="98">K417-G417</f>
        <v>0</v>
      </c>
      <c r="J417" s="445"/>
      <c r="K417" s="26">
        <v>0</v>
      </c>
      <c r="L417" s="445"/>
      <c r="M417" s="26">
        <v>15000</v>
      </c>
      <c r="P417" s="935"/>
      <c r="Q417" s="935"/>
    </row>
    <row r="418" spans="1:17" s="417" customFormat="1" ht="12.6" customHeight="1">
      <c r="A418" s="434"/>
      <c r="B418" s="430" t="s">
        <v>524</v>
      </c>
      <c r="C418" s="443" t="s">
        <v>148</v>
      </c>
      <c r="D418" s="445"/>
      <c r="E418" s="26"/>
      <c r="F418" s="445"/>
      <c r="G418" s="26"/>
      <c r="H418" s="445"/>
      <c r="I418" s="299"/>
      <c r="J418" s="445"/>
      <c r="K418" s="26"/>
      <c r="L418" s="445"/>
      <c r="M418" s="26"/>
      <c r="P418" s="935"/>
      <c r="Q418" s="935"/>
    </row>
    <row r="419" spans="1:17" s="417" customFormat="1" ht="12.6" customHeight="1">
      <c r="A419" s="434"/>
      <c r="B419" s="430" t="s">
        <v>770</v>
      </c>
      <c r="C419" s="443"/>
      <c r="D419" s="445"/>
      <c r="E419" s="26">
        <v>0</v>
      </c>
      <c r="F419" s="445"/>
      <c r="G419" s="26">
        <v>0</v>
      </c>
      <c r="H419" s="445"/>
      <c r="I419" s="299">
        <f t="shared" ref="I419:I420" si="99">K419-G419</f>
        <v>0</v>
      </c>
      <c r="J419" s="445"/>
      <c r="K419" s="26">
        <v>0</v>
      </c>
      <c r="L419" s="445"/>
      <c r="M419" s="26">
        <v>37500</v>
      </c>
      <c r="P419" s="935"/>
      <c r="Q419" s="935"/>
    </row>
    <row r="420" spans="1:17" s="417" customFormat="1" ht="12.6" customHeight="1">
      <c r="A420" s="434"/>
      <c r="B420" s="430" t="s">
        <v>1234</v>
      </c>
      <c r="C420" s="443"/>
      <c r="D420" s="445"/>
      <c r="E420" s="26">
        <v>0</v>
      </c>
      <c r="F420" s="445"/>
      <c r="G420" s="26">
        <v>0</v>
      </c>
      <c r="H420" s="445"/>
      <c r="I420" s="299">
        <f t="shared" si="99"/>
        <v>0</v>
      </c>
      <c r="J420" s="445"/>
      <c r="K420" s="26">
        <v>0</v>
      </c>
      <c r="L420" s="445"/>
      <c r="M420" s="26">
        <v>10000</v>
      </c>
      <c r="P420" s="935"/>
      <c r="Q420" s="935"/>
    </row>
    <row r="421" spans="1:17" s="417" customFormat="1" ht="12.6" customHeight="1">
      <c r="A421" s="458" t="s">
        <v>1375</v>
      </c>
      <c r="B421" s="430"/>
      <c r="C421" s="443"/>
      <c r="D421" s="445"/>
      <c r="E421" s="26"/>
      <c r="F421" s="445"/>
      <c r="G421" s="26"/>
      <c r="H421" s="445"/>
      <c r="I421" s="26"/>
      <c r="J421" s="445"/>
      <c r="K421" s="26"/>
      <c r="L421" s="445"/>
      <c r="M421" s="26"/>
      <c r="P421" s="935"/>
      <c r="Q421" s="935"/>
    </row>
    <row r="422" spans="1:17" s="417" customFormat="1" ht="12.6" customHeight="1">
      <c r="A422" s="434" t="s">
        <v>606</v>
      </c>
      <c r="B422" s="430"/>
      <c r="C422" s="443"/>
      <c r="D422" s="445"/>
      <c r="E422" s="26"/>
      <c r="F422" s="445"/>
      <c r="G422" s="26"/>
      <c r="H422" s="445"/>
      <c r="I422" s="26"/>
      <c r="J422" s="445"/>
      <c r="K422" s="26"/>
      <c r="L422" s="445"/>
      <c r="M422" s="26"/>
      <c r="P422" s="935"/>
      <c r="Q422" s="935"/>
    </row>
    <row r="423" spans="1:17" s="417" customFormat="1" ht="12.6" customHeight="1">
      <c r="A423" s="434"/>
      <c r="B423" s="430" t="s">
        <v>521</v>
      </c>
      <c r="C423" s="443" t="s">
        <v>126</v>
      </c>
      <c r="D423" s="445"/>
      <c r="E423" s="26">
        <v>0</v>
      </c>
      <c r="F423" s="445"/>
      <c r="G423" s="26">
        <v>0</v>
      </c>
      <c r="H423" s="445"/>
      <c r="I423" s="299">
        <f t="shared" ref="I423:I425" si="100">K423-G423</f>
        <v>0</v>
      </c>
      <c r="J423" s="445"/>
      <c r="K423" s="26">
        <v>0</v>
      </c>
      <c r="L423" s="445"/>
      <c r="M423" s="26">
        <v>15000</v>
      </c>
      <c r="P423" s="935"/>
      <c r="Q423" s="935"/>
    </row>
    <row r="424" spans="1:17" s="417" customFormat="1" ht="12.6" customHeight="1">
      <c r="A424" s="434"/>
      <c r="B424" s="430" t="s">
        <v>596</v>
      </c>
      <c r="C424" s="443" t="s">
        <v>128</v>
      </c>
      <c r="D424" s="445"/>
      <c r="E424" s="26">
        <v>0</v>
      </c>
      <c r="F424" s="445"/>
      <c r="G424" s="26">
        <v>0</v>
      </c>
      <c r="H424" s="445"/>
      <c r="I424" s="299">
        <f t="shared" si="100"/>
        <v>0</v>
      </c>
      <c r="J424" s="445"/>
      <c r="K424" s="26">
        <v>0</v>
      </c>
      <c r="L424" s="445"/>
      <c r="M424" s="26">
        <v>5000</v>
      </c>
      <c r="P424" s="935"/>
      <c r="Q424" s="935"/>
    </row>
    <row r="425" spans="1:17" s="417" customFormat="1" ht="12.6" customHeight="1">
      <c r="A425" s="434"/>
      <c r="B425" s="430" t="s">
        <v>541</v>
      </c>
      <c r="C425" s="443" t="s">
        <v>137</v>
      </c>
      <c r="D425" s="445"/>
      <c r="E425" s="26">
        <v>0</v>
      </c>
      <c r="F425" s="445"/>
      <c r="G425" s="26">
        <v>0</v>
      </c>
      <c r="H425" s="445"/>
      <c r="I425" s="299">
        <f t="shared" si="100"/>
        <v>0</v>
      </c>
      <c r="J425" s="445"/>
      <c r="K425" s="26">
        <v>0</v>
      </c>
      <c r="L425" s="445"/>
      <c r="M425" s="26">
        <v>5000</v>
      </c>
      <c r="P425" s="935"/>
      <c r="Q425" s="935"/>
    </row>
    <row r="426" spans="1:17" ht="13.5">
      <c r="A426" s="461" t="s">
        <v>1376</v>
      </c>
      <c r="B426" s="488"/>
      <c r="C426" s="324"/>
      <c r="D426" s="445"/>
      <c r="E426" s="299"/>
      <c r="F426" s="27"/>
      <c r="G426" s="299"/>
      <c r="H426" s="445"/>
      <c r="I426" s="26"/>
      <c r="J426" s="445"/>
      <c r="K426" s="26"/>
      <c r="L426" s="445"/>
      <c r="M426" s="26"/>
      <c r="N426" s="445"/>
      <c r="O426" s="26"/>
    </row>
    <row r="427" spans="1:17" ht="13.5">
      <c r="A427" s="459" t="s">
        <v>883</v>
      </c>
      <c r="B427" s="488"/>
      <c r="C427" s="324"/>
      <c r="D427" s="445"/>
      <c r="E427" s="299"/>
      <c r="F427" s="27"/>
      <c r="G427" s="299"/>
      <c r="H427" s="445"/>
      <c r="I427" s="26"/>
      <c r="J427" s="445"/>
      <c r="K427" s="26"/>
      <c r="L427" s="445"/>
      <c r="M427" s="26"/>
      <c r="N427" s="445"/>
      <c r="O427" s="26"/>
    </row>
    <row r="428" spans="1:17" ht="13.5">
      <c r="A428" s="497" t="s">
        <v>884</v>
      </c>
      <c r="B428" s="498"/>
      <c r="C428" s="324"/>
      <c r="D428" s="445"/>
      <c r="E428" s="299"/>
      <c r="F428" s="27"/>
      <c r="G428" s="299"/>
      <c r="H428" s="445"/>
      <c r="I428" s="26"/>
      <c r="J428" s="445"/>
      <c r="K428" s="26"/>
      <c r="L428" s="445"/>
      <c r="M428" s="26"/>
      <c r="N428" s="445"/>
      <c r="O428" s="26"/>
    </row>
    <row r="429" spans="1:17" ht="13.5">
      <c r="A429" s="458" t="s">
        <v>638</v>
      </c>
      <c r="B429" s="499"/>
      <c r="C429" s="324" t="s">
        <v>126</v>
      </c>
      <c r="D429" s="445"/>
      <c r="E429" s="299">
        <v>0</v>
      </c>
      <c r="F429" s="27"/>
      <c r="G429" s="299">
        <v>0</v>
      </c>
      <c r="H429" s="445"/>
      <c r="I429" s="26">
        <f>K429-G429</f>
        <v>65000</v>
      </c>
      <c r="J429" s="445"/>
      <c r="K429" s="314">
        <f>25000+20000+20000</f>
        <v>65000</v>
      </c>
      <c r="L429" s="445"/>
      <c r="M429" s="316">
        <v>65000</v>
      </c>
      <c r="N429" s="445"/>
      <c r="O429" s="316">
        <f t="shared" ref="O429:O432" si="101">M429-K429</f>
        <v>0</v>
      </c>
    </row>
    <row r="430" spans="1:17" ht="13.5">
      <c r="A430" s="458" t="s">
        <v>639</v>
      </c>
      <c r="B430" s="499"/>
      <c r="C430" s="324" t="s">
        <v>127</v>
      </c>
      <c r="D430" s="445"/>
      <c r="E430" s="299">
        <v>0</v>
      </c>
      <c r="F430" s="27"/>
      <c r="G430" s="299">
        <v>0</v>
      </c>
      <c r="H430" s="445"/>
      <c r="I430" s="26">
        <f>K430-G430</f>
        <v>125000</v>
      </c>
      <c r="J430" s="445"/>
      <c r="K430" s="314">
        <v>125000</v>
      </c>
      <c r="L430" s="445"/>
      <c r="M430" s="316">
        <v>125000</v>
      </c>
      <c r="N430" s="445"/>
      <c r="O430" s="316">
        <f t="shared" si="101"/>
        <v>0</v>
      </c>
    </row>
    <row r="431" spans="1:17" ht="13.5">
      <c r="A431" s="458" t="s">
        <v>640</v>
      </c>
      <c r="B431" s="499"/>
      <c r="C431" s="324" t="s">
        <v>128</v>
      </c>
      <c r="D431" s="445"/>
      <c r="E431" s="299">
        <v>0</v>
      </c>
      <c r="F431" s="27"/>
      <c r="G431" s="299">
        <v>0</v>
      </c>
      <c r="H431" s="445"/>
      <c r="I431" s="26">
        <f>K431-G431</f>
        <v>30000</v>
      </c>
      <c r="J431" s="445"/>
      <c r="K431" s="314">
        <v>30000</v>
      </c>
      <c r="L431" s="445"/>
      <c r="M431" s="316">
        <v>30000</v>
      </c>
      <c r="N431" s="445"/>
      <c r="O431" s="316">
        <f t="shared" si="101"/>
        <v>0</v>
      </c>
    </row>
    <row r="432" spans="1:17" ht="13.5">
      <c r="A432" s="458" t="s">
        <v>641</v>
      </c>
      <c r="B432" s="499"/>
      <c r="C432" s="324" t="s">
        <v>174</v>
      </c>
      <c r="D432" s="445"/>
      <c r="E432" s="299">
        <v>0</v>
      </c>
      <c r="F432" s="27"/>
      <c r="G432" s="299">
        <v>0</v>
      </c>
      <c r="H432" s="445"/>
      <c r="I432" s="26">
        <f>K432-G432</f>
        <v>20000</v>
      </c>
      <c r="J432" s="445"/>
      <c r="K432" s="314">
        <v>20000</v>
      </c>
      <c r="L432" s="445"/>
      <c r="M432" s="316">
        <v>20000</v>
      </c>
      <c r="N432" s="445"/>
      <c r="O432" s="316">
        <f t="shared" si="101"/>
        <v>0</v>
      </c>
    </row>
    <row r="433" spans="1:16" ht="13.5">
      <c r="A433" s="458" t="s">
        <v>628</v>
      </c>
      <c r="B433" s="499"/>
      <c r="C433" s="324" t="s">
        <v>148</v>
      </c>
      <c r="D433" s="445"/>
      <c r="E433" s="299"/>
      <c r="F433" s="27"/>
      <c r="G433" s="299"/>
      <c r="H433" s="445"/>
      <c r="I433" s="26"/>
      <c r="J433" s="445"/>
      <c r="K433" s="314"/>
      <c r="L433" s="445"/>
      <c r="M433" s="314"/>
      <c r="N433" s="445"/>
      <c r="O433" s="314"/>
    </row>
    <row r="434" spans="1:16" ht="13.5">
      <c r="A434" s="458" t="s">
        <v>642</v>
      </c>
      <c r="B434" s="499"/>
      <c r="C434" s="324"/>
      <c r="D434" s="445"/>
      <c r="E434" s="299"/>
      <c r="F434" s="27"/>
      <c r="G434" s="299"/>
      <c r="H434" s="445"/>
      <c r="I434" s="26"/>
      <c r="J434" s="445"/>
      <c r="K434" s="314"/>
      <c r="L434" s="445"/>
      <c r="M434" s="314"/>
      <c r="N434" s="445"/>
      <c r="O434" s="314"/>
    </row>
    <row r="435" spans="1:16" ht="13.5">
      <c r="A435" s="458" t="s">
        <v>594</v>
      </c>
      <c r="B435" s="499"/>
      <c r="C435" s="324"/>
      <c r="D435" s="445"/>
      <c r="E435" s="299">
        <v>0</v>
      </c>
      <c r="F435" s="27"/>
      <c r="G435" s="299">
        <v>0</v>
      </c>
      <c r="H435" s="445"/>
      <c r="I435" s="26">
        <f>K435-G435</f>
        <v>50000</v>
      </c>
      <c r="J435" s="445"/>
      <c r="K435" s="314">
        <v>50000</v>
      </c>
      <c r="L435" s="445"/>
      <c r="M435" s="316">
        <v>50000</v>
      </c>
      <c r="N435" s="445"/>
      <c r="O435" s="316">
        <f t="shared" ref="O435:O437" si="102">M435-K435</f>
        <v>0</v>
      </c>
    </row>
    <row r="436" spans="1:16" ht="13.5">
      <c r="A436" s="458" t="s">
        <v>643</v>
      </c>
      <c r="B436" s="499"/>
      <c r="C436" s="324"/>
      <c r="D436" s="445"/>
      <c r="E436" s="299">
        <v>0</v>
      </c>
      <c r="F436" s="27"/>
      <c r="G436" s="299">
        <v>0</v>
      </c>
      <c r="H436" s="445"/>
      <c r="I436" s="26">
        <f>K436-G436</f>
        <v>110000</v>
      </c>
      <c r="J436" s="445"/>
      <c r="K436" s="314">
        <f>50000+60000</f>
        <v>110000</v>
      </c>
      <c r="L436" s="445"/>
      <c r="M436" s="316">
        <v>110000</v>
      </c>
      <c r="N436" s="445"/>
      <c r="O436" s="316">
        <f t="shared" si="102"/>
        <v>0</v>
      </c>
      <c r="P436" s="936"/>
    </row>
    <row r="437" spans="1:16" ht="13.5">
      <c r="A437" s="458" t="s">
        <v>644</v>
      </c>
      <c r="B437" s="499"/>
      <c r="C437" s="324"/>
      <c r="D437" s="445"/>
      <c r="E437" s="299">
        <v>0</v>
      </c>
      <c r="F437" s="27"/>
      <c r="G437" s="299">
        <v>0</v>
      </c>
      <c r="H437" s="445"/>
      <c r="I437" s="26">
        <f>K437-G437</f>
        <v>80000</v>
      </c>
      <c r="J437" s="445"/>
      <c r="K437" s="314">
        <v>80000</v>
      </c>
      <c r="L437" s="445"/>
      <c r="M437" s="316">
        <v>80000</v>
      </c>
      <c r="N437" s="445"/>
      <c r="O437" s="316">
        <f t="shared" si="102"/>
        <v>0</v>
      </c>
    </row>
    <row r="438" spans="1:16" ht="13.5">
      <c r="A438" s="461" t="s">
        <v>1377</v>
      </c>
      <c r="B438" s="488"/>
      <c r="C438" s="324"/>
      <c r="D438" s="445"/>
      <c r="E438" s="299"/>
      <c r="F438" s="27"/>
      <c r="G438" s="299"/>
      <c r="H438" s="445"/>
      <c r="I438" s="26"/>
      <c r="J438" s="445"/>
      <c r="K438" s="26"/>
      <c r="L438" s="445"/>
      <c r="M438" s="26"/>
      <c r="N438" s="445"/>
      <c r="O438" s="26"/>
    </row>
    <row r="439" spans="1:16" ht="13.5">
      <c r="A439" s="459" t="s">
        <v>1378</v>
      </c>
      <c r="B439" s="488"/>
      <c r="C439" s="324"/>
      <c r="D439" s="445"/>
      <c r="E439" s="299"/>
      <c r="F439" s="27"/>
      <c r="G439" s="299"/>
      <c r="H439" s="445"/>
      <c r="I439" s="26"/>
      <c r="J439" s="445"/>
      <c r="K439" s="26"/>
      <c r="L439" s="445"/>
      <c r="M439" s="26"/>
      <c r="N439" s="445"/>
      <c r="O439" s="26"/>
    </row>
    <row r="440" spans="1:16" ht="13.5">
      <c r="A440" s="497" t="s">
        <v>884</v>
      </c>
      <c r="B440" s="498"/>
      <c r="C440" s="324"/>
      <c r="D440" s="445"/>
      <c r="E440" s="299"/>
      <c r="F440" s="27"/>
      <c r="G440" s="299"/>
      <c r="H440" s="445"/>
      <c r="I440" s="26"/>
      <c r="J440" s="445"/>
      <c r="K440" s="26"/>
      <c r="L440" s="445"/>
      <c r="M440" s="26"/>
      <c r="N440" s="445"/>
      <c r="O440" s="26"/>
    </row>
    <row r="441" spans="1:16" ht="13.5">
      <c r="A441" s="493" t="s">
        <v>638</v>
      </c>
      <c r="B441" s="893"/>
      <c r="C441" s="326" t="s">
        <v>126</v>
      </c>
      <c r="D441" s="450"/>
      <c r="E441" s="302">
        <v>0</v>
      </c>
      <c r="F441" s="60"/>
      <c r="G441" s="302">
        <v>0</v>
      </c>
      <c r="H441" s="450"/>
      <c r="I441" s="31">
        <f>K441-G441</f>
        <v>0</v>
      </c>
      <c r="J441" s="450"/>
      <c r="K441" s="321">
        <v>0</v>
      </c>
      <c r="L441" s="450"/>
      <c r="M441" s="713">
        <v>300000</v>
      </c>
      <c r="N441" s="445"/>
      <c r="O441" s="316">
        <f t="shared" ref="O441:O444" si="103">M441-K441</f>
        <v>300000</v>
      </c>
    </row>
    <row r="442" spans="1:16" ht="13.5">
      <c r="A442" s="458" t="s">
        <v>639</v>
      </c>
      <c r="B442" s="499"/>
      <c r="C442" s="324" t="s">
        <v>127</v>
      </c>
      <c r="D442" s="445"/>
      <c r="E442" s="299">
        <v>0</v>
      </c>
      <c r="F442" s="27"/>
      <c r="G442" s="299">
        <v>0</v>
      </c>
      <c r="H442" s="445"/>
      <c r="I442" s="26">
        <f>K442-G442</f>
        <v>0</v>
      </c>
      <c r="J442" s="445"/>
      <c r="K442" s="314">
        <v>0</v>
      </c>
      <c r="L442" s="445"/>
      <c r="M442" s="316">
        <v>100000</v>
      </c>
      <c r="N442" s="445"/>
      <c r="O442" s="316">
        <f t="shared" si="103"/>
        <v>100000</v>
      </c>
    </row>
    <row r="443" spans="1:16" ht="13.5">
      <c r="A443" s="458" t="s">
        <v>640</v>
      </c>
      <c r="B443" s="499"/>
      <c r="C443" s="324" t="s">
        <v>128</v>
      </c>
      <c r="D443" s="445"/>
      <c r="E443" s="299">
        <v>0</v>
      </c>
      <c r="F443" s="27"/>
      <c r="G443" s="299">
        <v>0</v>
      </c>
      <c r="H443" s="445"/>
      <c r="I443" s="26">
        <f>K443-G443</f>
        <v>0</v>
      </c>
      <c r="J443" s="445"/>
      <c r="K443" s="314">
        <v>0</v>
      </c>
      <c r="L443" s="445"/>
      <c r="M443" s="316">
        <v>5000</v>
      </c>
      <c r="N443" s="445"/>
      <c r="O443" s="316">
        <f t="shared" si="103"/>
        <v>5000</v>
      </c>
    </row>
    <row r="444" spans="1:16" ht="13.5">
      <c r="A444" s="458" t="s">
        <v>1379</v>
      </c>
      <c r="B444" s="499"/>
      <c r="C444" s="324" t="s">
        <v>129</v>
      </c>
      <c r="D444" s="445"/>
      <c r="E444" s="299"/>
      <c r="F444" s="27"/>
      <c r="G444" s="299">
        <v>0</v>
      </c>
      <c r="H444" s="445"/>
      <c r="I444" s="26">
        <f>K444-G444</f>
        <v>0</v>
      </c>
      <c r="J444" s="445"/>
      <c r="K444" s="314">
        <v>0</v>
      </c>
      <c r="L444" s="445"/>
      <c r="M444" s="316">
        <v>10000</v>
      </c>
      <c r="N444" s="445"/>
      <c r="O444" s="316">
        <f t="shared" si="103"/>
        <v>10000</v>
      </c>
    </row>
    <row r="445" spans="1:16" ht="13.5">
      <c r="A445" s="458" t="s">
        <v>628</v>
      </c>
      <c r="B445" s="499"/>
      <c r="C445" s="324" t="s">
        <v>148</v>
      </c>
      <c r="D445" s="445"/>
      <c r="E445" s="299"/>
      <c r="F445" s="27"/>
      <c r="G445" s="299"/>
      <c r="H445" s="445"/>
      <c r="I445" s="26"/>
      <c r="J445" s="445"/>
      <c r="K445" s="314"/>
      <c r="L445" s="445"/>
      <c r="M445" s="314"/>
      <c r="N445" s="445"/>
      <c r="O445" s="314"/>
    </row>
    <row r="446" spans="1:16" ht="13.5">
      <c r="A446" s="458" t="s">
        <v>1380</v>
      </c>
      <c r="B446" s="499"/>
      <c r="C446" s="324"/>
      <c r="D446" s="445"/>
      <c r="E446" s="299">
        <v>0</v>
      </c>
      <c r="F446" s="27"/>
      <c r="G446" s="299">
        <v>0</v>
      </c>
      <c r="H446" s="445"/>
      <c r="I446" s="26">
        <f>K446-G446</f>
        <v>0</v>
      </c>
      <c r="J446" s="445"/>
      <c r="K446" s="314">
        <v>0</v>
      </c>
      <c r="L446" s="445"/>
      <c r="M446" s="316">
        <v>182388</v>
      </c>
      <c r="N446" s="445"/>
      <c r="O446" s="316">
        <f t="shared" ref="O446" si="104">M446-K446</f>
        <v>182388</v>
      </c>
      <c r="P446" s="936"/>
    </row>
    <row r="447" spans="1:16" ht="13.5">
      <c r="A447" s="458" t="s">
        <v>1381</v>
      </c>
      <c r="B447" s="499"/>
      <c r="C447" s="324"/>
      <c r="D447" s="445"/>
      <c r="E447" s="299">
        <v>0</v>
      </c>
      <c r="F447" s="27"/>
      <c r="G447" s="299">
        <v>0</v>
      </c>
      <c r="H447" s="445"/>
      <c r="I447" s="26">
        <f>K447-G447</f>
        <v>0</v>
      </c>
      <c r="J447" s="445"/>
      <c r="K447" s="314">
        <v>0</v>
      </c>
      <c r="L447" s="445"/>
      <c r="M447" s="316">
        <v>100000</v>
      </c>
      <c r="N447" s="445"/>
      <c r="O447" s="316">
        <f t="shared" ref="O447:O448" si="105">M447-K447</f>
        <v>100000</v>
      </c>
      <c r="P447" s="936"/>
    </row>
    <row r="448" spans="1:16" ht="13.5">
      <c r="A448" s="458" t="s">
        <v>644</v>
      </c>
      <c r="B448" s="499"/>
      <c r="C448" s="324"/>
      <c r="D448" s="445"/>
      <c r="E448" s="299">
        <v>0</v>
      </c>
      <c r="F448" s="27"/>
      <c r="G448" s="299">
        <v>0</v>
      </c>
      <c r="H448" s="445"/>
      <c r="I448" s="26">
        <f>K448-G448</f>
        <v>0</v>
      </c>
      <c r="J448" s="445"/>
      <c r="K448" s="314">
        <v>0</v>
      </c>
      <c r="L448" s="450"/>
      <c r="M448" s="713">
        <v>10000</v>
      </c>
      <c r="N448" s="445"/>
      <c r="O448" s="316">
        <f t="shared" si="105"/>
        <v>10000</v>
      </c>
    </row>
    <row r="449" spans="1:19" ht="14.25" customHeight="1">
      <c r="A449" s="1413" t="s">
        <v>86</v>
      </c>
      <c r="B449" s="1414"/>
      <c r="C449" s="327"/>
      <c r="D449" s="500" t="s">
        <v>15</v>
      </c>
      <c r="E449" s="501">
        <f>SUM(E13:E448)</f>
        <v>23901510.050000001</v>
      </c>
      <c r="F449" s="500" t="s">
        <v>15</v>
      </c>
      <c r="G449" s="501">
        <f>SUM(G13:G437)</f>
        <v>4932268.3100000005</v>
      </c>
      <c r="H449" s="500" t="s">
        <v>15</v>
      </c>
      <c r="I449" s="501">
        <f>SUM(I13:I437)</f>
        <v>22483162.690000001</v>
      </c>
      <c r="J449" s="500" t="s">
        <v>15</v>
      </c>
      <c r="K449" s="501">
        <f>SUM(K13:K437)</f>
        <v>27415431</v>
      </c>
      <c r="L449" s="500" t="s">
        <v>15</v>
      </c>
      <c r="M449" s="501">
        <f>SUM(M13:M448)</f>
        <v>24784688</v>
      </c>
      <c r="N449" s="500" t="s">
        <v>15</v>
      </c>
      <c r="O449" s="501">
        <f>SUM(O13:O437)</f>
        <v>-3688131</v>
      </c>
      <c r="P449" s="934"/>
      <c r="S449" s="468" t="s">
        <v>11</v>
      </c>
    </row>
    <row r="450" spans="1:19" ht="13.5" customHeight="1">
      <c r="A450" s="488" t="s">
        <v>1623</v>
      </c>
      <c r="B450" s="502"/>
      <c r="C450" s="328"/>
      <c r="D450" s="503"/>
      <c r="E450" s="310"/>
      <c r="F450" s="1"/>
      <c r="G450" s="1"/>
      <c r="H450" s="503"/>
      <c r="I450" s="1"/>
      <c r="J450" s="503"/>
      <c r="K450" s="1"/>
      <c r="L450" s="503"/>
      <c r="M450" s="1"/>
      <c r="N450" s="503"/>
      <c r="O450" s="1"/>
    </row>
    <row r="451" spans="1:19" ht="19.5" customHeight="1">
      <c r="A451" s="504" t="s">
        <v>39</v>
      </c>
      <c r="C451" s="505"/>
      <c r="D451" s="506"/>
      <c r="E451" s="311"/>
      <c r="F451" s="469"/>
      <c r="G451" s="507"/>
      <c r="H451" s="504"/>
      <c r="I451" s="469"/>
      <c r="J451" s="504"/>
      <c r="K451" s="469"/>
      <c r="L451" s="468"/>
      <c r="M451" s="469"/>
      <c r="N451" s="468"/>
      <c r="O451" s="469"/>
    </row>
    <row r="452" spans="1:19" s="506" customFormat="1" ht="14.25">
      <c r="C452" s="505"/>
      <c r="E452" s="312"/>
      <c r="F452" s="507"/>
      <c r="G452" s="507"/>
      <c r="I452" s="507"/>
      <c r="K452" s="507"/>
      <c r="M452" s="507"/>
      <c r="O452" s="507"/>
      <c r="P452" s="937"/>
      <c r="Q452" s="937"/>
    </row>
    <row r="453" spans="1:19" s="506" customFormat="1" ht="7.5" customHeight="1">
      <c r="C453" s="505"/>
      <c r="E453" s="312"/>
      <c r="F453" s="507"/>
      <c r="G453" s="507"/>
      <c r="I453" s="507"/>
      <c r="K453" s="507"/>
      <c r="M453" s="507"/>
      <c r="O453" s="507"/>
      <c r="P453" s="937"/>
      <c r="Q453" s="937"/>
    </row>
    <row r="454" spans="1:19" s="506" customFormat="1" ht="14.25">
      <c r="C454" s="505"/>
      <c r="E454" s="312"/>
      <c r="F454" s="507"/>
      <c r="G454" s="507"/>
      <c r="I454" s="507"/>
      <c r="K454" s="507"/>
      <c r="M454" s="507"/>
      <c r="O454" s="507"/>
      <c r="P454" s="937"/>
      <c r="Q454" s="937"/>
    </row>
    <row r="455" spans="1:19" s="508" customFormat="1" ht="15" customHeight="1">
      <c r="A455" s="940" t="s">
        <v>1587</v>
      </c>
      <c r="B455" s="940"/>
      <c r="C455" s="941"/>
      <c r="D455" s="942"/>
      <c r="E455" s="943"/>
      <c r="F455" s="940"/>
      <c r="G455" s="944"/>
      <c r="H455" s="940"/>
      <c r="I455" s="940"/>
      <c r="J455" s="940"/>
      <c r="K455" s="940"/>
      <c r="L455" s="940"/>
      <c r="M455" s="940"/>
      <c r="N455" s="940"/>
      <c r="O455" s="940"/>
      <c r="P455" s="945"/>
      <c r="Q455" s="946"/>
    </row>
    <row r="456" spans="1:19" s="513" customFormat="1" ht="15">
      <c r="A456" s="509" t="s">
        <v>857</v>
      </c>
      <c r="B456" s="509"/>
      <c r="C456" s="510"/>
      <c r="D456" s="511"/>
      <c r="E456" s="313"/>
      <c r="F456" s="509"/>
      <c r="G456" s="512"/>
      <c r="H456" s="509"/>
      <c r="I456" s="509"/>
      <c r="J456" s="509"/>
      <c r="K456" s="509"/>
      <c r="L456" s="509"/>
      <c r="M456" s="509"/>
      <c r="N456" s="509"/>
      <c r="O456" s="509"/>
      <c r="P456" s="938"/>
      <c r="Q456" s="939"/>
    </row>
  </sheetData>
  <sheetProtection algorithmName="SHA-512" hashValue="rRl8GPgTLAS3ANd1NivWLPRGWO+6a8ptS3aetfIJ3Eso8lSQERigJNxiokA76RzJmYoaVOINCeXAo5L6//P1zQ==" saltValue="oI+RaJfcLLENsH/qrVEXiw==" spinCount="100000" sheet="1" objects="1" scenarios="1"/>
  <mergeCells count="17">
    <mergeCell ref="A449:B449"/>
    <mergeCell ref="H11:I11"/>
    <mergeCell ref="J11:K12"/>
    <mergeCell ref="L11:M11"/>
    <mergeCell ref="D12:E12"/>
    <mergeCell ref="F12:G12"/>
    <mergeCell ref="H12:I12"/>
    <mergeCell ref="L12:M12"/>
    <mergeCell ref="N10:O12"/>
    <mergeCell ref="A11:B11"/>
    <mergeCell ref="D11:E11"/>
    <mergeCell ref="F11:G11"/>
    <mergeCell ref="A3:M3"/>
    <mergeCell ref="A4:M4"/>
    <mergeCell ref="D10:E10"/>
    <mergeCell ref="F10:K10"/>
    <mergeCell ref="L10:M10"/>
  </mergeCells>
  <pageMargins left="0.25" right="0.25" top="1" bottom="1.25" header="0.39370078740157499" footer="0.511811023622047"/>
  <pageSetup paperSize="14" orientation="portrait" verticalDpi="300" r:id="rId1"/>
  <headerFooter alignWithMargins="0">
    <oddHeader>&amp;RPage &amp;P of &amp;N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93"/>
  <sheetViews>
    <sheetView topLeftCell="A175" zoomScale="190" zoomScaleNormal="190" workbookViewId="0">
      <selection activeCell="N22" sqref="N22"/>
    </sheetView>
  </sheetViews>
  <sheetFormatPr defaultColWidth="9.140625" defaultRowHeight="11.25"/>
  <cols>
    <col min="1" max="1" width="39.140625" style="660" customWidth="1"/>
    <col min="2" max="2" width="8.140625" style="661" customWidth="1"/>
    <col min="3" max="3" width="2.140625" style="661" customWidth="1"/>
    <col min="4" max="4" width="9.7109375" style="660" customWidth="1"/>
    <col min="5" max="5" width="1.42578125" style="661" customWidth="1"/>
    <col min="6" max="6" width="9.7109375" style="660" customWidth="1"/>
    <col min="7" max="7" width="1.42578125" style="661" customWidth="1"/>
    <col min="8" max="8" width="9.7109375" style="660" customWidth="1"/>
    <col min="9" max="9" width="1.85546875" style="661" customWidth="1"/>
    <col min="10" max="10" width="9.140625" style="662" customWidth="1"/>
    <col min="11" max="11" width="1.7109375" style="661" customWidth="1"/>
    <col min="12" max="12" width="10" style="660" customWidth="1"/>
    <col min="13" max="14" width="9.140625" style="660"/>
    <col min="15" max="15" width="9.140625" style="953"/>
    <col min="16" max="16384" width="9.140625" style="660"/>
  </cols>
  <sheetData>
    <row r="1" spans="1:15" s="613" customFormat="1" ht="13.5">
      <c r="A1" s="611" t="s">
        <v>186</v>
      </c>
      <c r="B1" s="730"/>
      <c r="C1" s="611"/>
      <c r="D1" s="612"/>
      <c r="E1" s="611"/>
      <c r="F1" s="612"/>
      <c r="G1" s="611"/>
      <c r="H1" s="612"/>
      <c r="I1" s="611"/>
      <c r="J1" s="612"/>
      <c r="K1" s="611"/>
      <c r="L1" s="612"/>
      <c r="M1" s="611"/>
      <c r="O1" s="947"/>
    </row>
    <row r="2" spans="1:15" s="613" customFormat="1" ht="13.5">
      <c r="A2" s="611"/>
      <c r="B2" s="730"/>
      <c r="C2" s="611"/>
      <c r="D2" s="612"/>
      <c r="E2" s="611"/>
      <c r="F2" s="612"/>
      <c r="G2" s="611"/>
      <c r="H2" s="612"/>
      <c r="I2" s="611"/>
      <c r="J2" s="612"/>
      <c r="K2" s="611"/>
      <c r="L2" s="612"/>
      <c r="M2" s="611"/>
      <c r="O2" s="947"/>
    </row>
    <row r="3" spans="1:15" s="613" customFormat="1" ht="13.5">
      <c r="A3" s="1415" t="s">
        <v>195</v>
      </c>
      <c r="B3" s="1415"/>
      <c r="C3" s="1415"/>
      <c r="D3" s="1415"/>
      <c r="E3" s="1415"/>
      <c r="F3" s="1415"/>
      <c r="G3" s="1415"/>
      <c r="H3" s="1415"/>
      <c r="I3" s="1415"/>
      <c r="J3" s="1415"/>
      <c r="K3" s="1415"/>
      <c r="L3" s="1415"/>
      <c r="M3" s="1415"/>
      <c r="N3" s="738"/>
      <c r="O3" s="948"/>
    </row>
    <row r="4" spans="1:15" s="613" customFormat="1" ht="13.5">
      <c r="A4" s="1415" t="s">
        <v>401</v>
      </c>
      <c r="B4" s="1415"/>
      <c r="C4" s="1415"/>
      <c r="D4" s="1415"/>
      <c r="E4" s="1415"/>
      <c r="F4" s="1415"/>
      <c r="G4" s="1415"/>
      <c r="H4" s="1415"/>
      <c r="I4" s="1415"/>
      <c r="J4" s="1415"/>
      <c r="K4" s="1415"/>
      <c r="L4" s="1415"/>
      <c r="M4" s="1415"/>
      <c r="N4" s="738"/>
      <c r="O4" s="948"/>
    </row>
    <row r="5" spans="1:15" s="613" customFormat="1" ht="8.25" customHeight="1">
      <c r="B5" s="738"/>
      <c r="C5" s="738"/>
      <c r="E5" s="738"/>
      <c r="G5" s="738"/>
      <c r="I5" s="738"/>
      <c r="J5" s="614"/>
      <c r="K5" s="738"/>
      <c r="O5" s="947"/>
    </row>
    <row r="6" spans="1:15" s="613" customFormat="1" ht="10.5">
      <c r="A6" s="615" t="s">
        <v>930</v>
      </c>
      <c r="B6" s="738"/>
      <c r="C6" s="738"/>
      <c r="E6" s="738"/>
      <c r="G6" s="738"/>
      <c r="I6" s="738"/>
      <c r="J6" s="614"/>
      <c r="K6" s="738"/>
      <c r="O6" s="947"/>
    </row>
    <row r="7" spans="1:15" s="613" customFormat="1" ht="10.5" hidden="1">
      <c r="A7" s="616"/>
      <c r="B7" s="738" t="s">
        <v>2</v>
      </c>
      <c r="C7" s="738"/>
      <c r="E7" s="1416"/>
      <c r="F7" s="1416"/>
      <c r="G7" s="1416"/>
      <c r="H7" s="1416"/>
      <c r="I7" s="1416"/>
      <c r="J7" s="1416"/>
      <c r="K7" s="1416"/>
      <c r="L7" s="1416"/>
      <c r="O7" s="947"/>
    </row>
    <row r="8" spans="1:15" s="613" customFormat="1" ht="10.5" hidden="1">
      <c r="A8" s="616"/>
      <c r="B8" s="738" t="s">
        <v>3</v>
      </c>
      <c r="C8" s="738"/>
      <c r="E8" s="1417"/>
      <c r="F8" s="1417"/>
      <c r="G8" s="1417"/>
      <c r="H8" s="1417"/>
      <c r="I8" s="1417"/>
      <c r="J8" s="1417"/>
      <c r="K8" s="1417"/>
      <c r="L8" s="1417"/>
      <c r="O8" s="947"/>
    </row>
    <row r="9" spans="1:15" s="613" customFormat="1" ht="10.5" hidden="1">
      <c r="A9" s="616"/>
      <c r="B9" s="738" t="s">
        <v>4</v>
      </c>
      <c r="C9" s="738"/>
      <c r="E9" s="738"/>
      <c r="G9" s="738"/>
      <c r="I9" s="738"/>
      <c r="J9" s="614"/>
      <c r="K9" s="738"/>
      <c r="O9" s="947"/>
    </row>
    <row r="10" spans="1:15" s="613" customFormat="1" ht="10.5">
      <c r="A10" s="616"/>
      <c r="B10" s="738"/>
      <c r="C10" s="738"/>
      <c r="E10" s="738"/>
      <c r="G10" s="738"/>
      <c r="I10" s="738"/>
      <c r="J10" s="614"/>
      <c r="K10" s="738"/>
      <c r="O10" s="947"/>
    </row>
    <row r="11" spans="1:15" s="618" customFormat="1" ht="13.5">
      <c r="A11" s="617"/>
      <c r="B11" s="1418" t="s">
        <v>929</v>
      </c>
      <c r="C11" s="1421" t="s">
        <v>7</v>
      </c>
      <c r="D11" s="1421"/>
      <c r="E11" s="1422" t="s">
        <v>1342</v>
      </c>
      <c r="F11" s="1423"/>
      <c r="G11" s="1423"/>
      <c r="H11" s="1423"/>
      <c r="I11" s="1423"/>
      <c r="J11" s="1424"/>
      <c r="K11" s="1421" t="s">
        <v>8</v>
      </c>
      <c r="L11" s="1421"/>
      <c r="O11" s="949"/>
    </row>
    <row r="12" spans="1:15" s="618" customFormat="1" ht="13.5">
      <c r="A12" s="619" t="s">
        <v>894</v>
      </c>
      <c r="B12" s="1419"/>
      <c r="C12" s="1425">
        <v>2021</v>
      </c>
      <c r="D12" s="1425"/>
      <c r="E12" s="1426" t="s">
        <v>184</v>
      </c>
      <c r="F12" s="1427"/>
      <c r="G12" s="1426" t="s">
        <v>185</v>
      </c>
      <c r="H12" s="1427"/>
      <c r="I12" s="1426" t="s">
        <v>64</v>
      </c>
      <c r="J12" s="1427"/>
      <c r="K12" s="1425">
        <v>2023</v>
      </c>
      <c r="L12" s="1425"/>
      <c r="O12" s="949"/>
    </row>
    <row r="13" spans="1:15" s="618" customFormat="1" ht="13.5">
      <c r="A13" s="620"/>
      <c r="B13" s="1420"/>
      <c r="C13" s="1430" t="s">
        <v>10</v>
      </c>
      <c r="D13" s="1430"/>
      <c r="E13" s="1431" t="s">
        <v>10</v>
      </c>
      <c r="F13" s="1432"/>
      <c r="G13" s="1431" t="s">
        <v>9</v>
      </c>
      <c r="H13" s="1432"/>
      <c r="I13" s="1428"/>
      <c r="J13" s="1429"/>
      <c r="K13" s="1430" t="s">
        <v>27</v>
      </c>
      <c r="L13" s="1430"/>
      <c r="O13" s="949"/>
    </row>
    <row r="14" spans="1:15" s="613" customFormat="1" ht="12.75">
      <c r="A14" s="621" t="s">
        <v>895</v>
      </c>
      <c r="B14" s="725"/>
      <c r="C14" s="622"/>
      <c r="D14" s="623"/>
      <c r="E14" s="624"/>
      <c r="F14" s="623"/>
      <c r="G14" s="624"/>
      <c r="H14" s="623"/>
      <c r="I14" s="625"/>
      <c r="J14" s="623"/>
      <c r="K14" s="624"/>
      <c r="L14" s="623"/>
      <c r="O14" s="947"/>
    </row>
    <row r="15" spans="1:15" s="629" customFormat="1" ht="13.5" customHeight="1">
      <c r="A15" s="610" t="s">
        <v>896</v>
      </c>
      <c r="B15" s="1434" t="s">
        <v>862</v>
      </c>
      <c r="C15" s="626"/>
      <c r="D15" s="627"/>
      <c r="E15" s="628"/>
      <c r="F15" s="627"/>
      <c r="G15" s="628"/>
      <c r="H15" s="627"/>
      <c r="I15" s="628"/>
      <c r="J15" s="627"/>
      <c r="K15" s="628"/>
      <c r="L15" s="627"/>
      <c r="O15" s="950"/>
    </row>
    <row r="16" spans="1:15" s="629" customFormat="1" ht="13.5" customHeight="1">
      <c r="A16" s="610" t="s">
        <v>994</v>
      </c>
      <c r="B16" s="1434"/>
      <c r="C16" s="626"/>
      <c r="D16" s="627"/>
      <c r="E16" s="628"/>
      <c r="F16" s="627"/>
      <c r="G16" s="628"/>
      <c r="H16" s="627"/>
      <c r="I16" s="628"/>
      <c r="J16" s="627"/>
      <c r="K16" s="628"/>
      <c r="L16" s="627"/>
      <c r="O16" s="950"/>
    </row>
    <row r="17" spans="1:15" s="629" customFormat="1" ht="14.25" customHeight="1">
      <c r="A17" s="610" t="s">
        <v>1436</v>
      </c>
      <c r="B17" s="838"/>
      <c r="C17" s="626" t="s">
        <v>15</v>
      </c>
      <c r="D17" s="627">
        <v>200000</v>
      </c>
      <c r="E17" s="626" t="s">
        <v>15</v>
      </c>
      <c r="F17" s="627">
        <v>0</v>
      </c>
      <c r="G17" s="626" t="s">
        <v>15</v>
      </c>
      <c r="H17" s="627">
        <f>J17-F17</f>
        <v>200000</v>
      </c>
      <c r="I17" s="626" t="s">
        <v>15</v>
      </c>
      <c r="J17" s="627">
        <v>200000</v>
      </c>
      <c r="K17" s="626" t="s">
        <v>15</v>
      </c>
      <c r="L17" s="627">
        <v>200000</v>
      </c>
      <c r="O17" s="950"/>
    </row>
    <row r="18" spans="1:15" s="629" customFormat="1" ht="14.25" customHeight="1">
      <c r="A18" s="610" t="s">
        <v>1437</v>
      </c>
      <c r="B18" s="838"/>
      <c r="C18" s="626"/>
      <c r="D18" s="627">
        <v>0</v>
      </c>
      <c r="E18" s="628"/>
      <c r="F18" s="627">
        <v>0</v>
      </c>
      <c r="G18" s="628"/>
      <c r="H18" s="627">
        <f>J18-F18</f>
        <v>11000000</v>
      </c>
      <c r="I18" s="628"/>
      <c r="J18" s="627">
        <v>11000000</v>
      </c>
      <c r="K18" s="628"/>
      <c r="L18" s="627">
        <v>0</v>
      </c>
      <c r="O18" s="950"/>
    </row>
    <row r="19" spans="1:15" s="629" customFormat="1" ht="14.25" customHeight="1">
      <c r="A19" s="610" t="s">
        <v>1438</v>
      </c>
      <c r="B19" s="885"/>
      <c r="C19" s="626"/>
      <c r="D19" s="627">
        <v>0</v>
      </c>
      <c r="E19" s="628"/>
      <c r="F19" s="627">
        <v>0</v>
      </c>
      <c r="G19" s="628"/>
      <c r="H19" s="627">
        <f>J19-F19</f>
        <v>300000</v>
      </c>
      <c r="I19" s="628"/>
      <c r="J19" s="627">
        <v>300000</v>
      </c>
      <c r="K19" s="628"/>
      <c r="L19" s="627">
        <v>0</v>
      </c>
      <c r="O19" s="950"/>
    </row>
    <row r="20" spans="1:15" s="629" customFormat="1" ht="14.25" customHeight="1">
      <c r="A20" s="610" t="s">
        <v>1439</v>
      </c>
      <c r="B20" s="735"/>
      <c r="C20" s="626"/>
      <c r="D20" s="627">
        <v>0</v>
      </c>
      <c r="E20" s="628"/>
      <c r="F20" s="627">
        <v>0</v>
      </c>
      <c r="G20" s="628"/>
      <c r="H20" s="627">
        <f>J20-F20</f>
        <v>0</v>
      </c>
      <c r="I20" s="628"/>
      <c r="J20" s="627">
        <v>0</v>
      </c>
      <c r="K20" s="628"/>
      <c r="L20" s="627">
        <v>200000</v>
      </c>
      <c r="O20" s="950"/>
    </row>
    <row r="21" spans="1:15" s="629" customFormat="1" ht="13.5" customHeight="1">
      <c r="A21" s="610" t="s">
        <v>1401</v>
      </c>
      <c r="B21" s="885" t="s">
        <v>742</v>
      </c>
      <c r="C21" s="626"/>
      <c r="D21" s="627"/>
      <c r="E21" s="628"/>
      <c r="F21" s="627"/>
      <c r="G21" s="628"/>
      <c r="H21" s="627"/>
      <c r="I21" s="628"/>
      <c r="J21" s="627"/>
      <c r="K21" s="628"/>
      <c r="L21" s="627"/>
      <c r="O21" s="950"/>
    </row>
    <row r="22" spans="1:15" s="629" customFormat="1" ht="12.75">
      <c r="A22" s="610" t="s">
        <v>1400</v>
      </c>
      <c r="B22" s="735"/>
      <c r="C22" s="626"/>
      <c r="D22" s="627">
        <v>0</v>
      </c>
      <c r="E22" s="628"/>
      <c r="F22" s="637">
        <v>0</v>
      </c>
      <c r="G22" s="628"/>
      <c r="H22" s="627">
        <f>J22-F22</f>
        <v>0</v>
      </c>
      <c r="I22" s="628"/>
      <c r="J22" s="627">
        <v>0</v>
      </c>
      <c r="K22" s="628"/>
      <c r="L22" s="627">
        <v>200000</v>
      </c>
      <c r="O22" s="950"/>
    </row>
    <row r="23" spans="1:15" s="629" customFormat="1" ht="15" customHeight="1">
      <c r="A23" s="610" t="s">
        <v>1402</v>
      </c>
      <c r="B23" s="1434"/>
      <c r="C23" s="626"/>
      <c r="D23" s="627"/>
      <c r="E23" s="628"/>
      <c r="F23" s="627"/>
      <c r="G23" s="628"/>
      <c r="H23" s="627"/>
      <c r="I23" s="628"/>
      <c r="J23" s="627"/>
      <c r="K23" s="628"/>
      <c r="L23" s="627"/>
      <c r="O23" s="950"/>
    </row>
    <row r="24" spans="1:15" s="629" customFormat="1" ht="16.5" customHeight="1">
      <c r="A24" s="610" t="s">
        <v>1403</v>
      </c>
      <c r="B24" s="1434"/>
      <c r="C24" s="626"/>
      <c r="D24" s="627">
        <v>0</v>
      </c>
      <c r="E24" s="628"/>
      <c r="F24" s="627">
        <v>0</v>
      </c>
      <c r="G24" s="628"/>
      <c r="H24" s="627">
        <f>J24-F24</f>
        <v>0</v>
      </c>
      <c r="I24" s="628"/>
      <c r="J24" s="627">
        <v>0</v>
      </c>
      <c r="K24" s="628"/>
      <c r="L24" s="627">
        <v>200000</v>
      </c>
      <c r="O24" s="950"/>
    </row>
    <row r="25" spans="1:15" s="629" customFormat="1" ht="16.5" customHeight="1">
      <c r="A25" s="610" t="s">
        <v>1413</v>
      </c>
      <c r="B25" s="1434"/>
      <c r="C25" s="626"/>
      <c r="D25" s="627">
        <v>0</v>
      </c>
      <c r="E25" s="628"/>
      <c r="F25" s="627">
        <v>0</v>
      </c>
      <c r="G25" s="628"/>
      <c r="H25" s="627">
        <f>J25-F25</f>
        <v>0</v>
      </c>
      <c r="I25" s="628"/>
      <c r="J25" s="627">
        <v>0</v>
      </c>
      <c r="K25" s="628"/>
      <c r="L25" s="627">
        <v>5000000</v>
      </c>
      <c r="O25" s="950"/>
    </row>
    <row r="26" spans="1:15" s="629" customFormat="1" ht="15" customHeight="1">
      <c r="A26" s="610" t="s">
        <v>1259</v>
      </c>
      <c r="B26" s="1434"/>
      <c r="C26" s="626"/>
      <c r="D26" s="627"/>
      <c r="E26" s="628"/>
      <c r="F26" s="627"/>
      <c r="G26" s="628"/>
      <c r="H26" s="627"/>
      <c r="I26" s="628"/>
      <c r="J26" s="627"/>
      <c r="K26" s="628"/>
      <c r="L26" s="627"/>
      <c r="O26" s="950"/>
    </row>
    <row r="27" spans="1:15" s="629" customFormat="1" ht="10.5" customHeight="1">
      <c r="A27" s="610" t="s">
        <v>948</v>
      </c>
      <c r="B27" s="1434"/>
      <c r="C27" s="626"/>
      <c r="D27" s="627"/>
      <c r="E27" s="628"/>
      <c r="F27" s="627"/>
      <c r="G27" s="628"/>
      <c r="H27" s="627"/>
      <c r="I27" s="628"/>
      <c r="J27" s="627"/>
      <c r="K27" s="628"/>
      <c r="L27" s="627"/>
      <c r="O27" s="950"/>
    </row>
    <row r="28" spans="1:15" s="629" customFormat="1" ht="12.75">
      <c r="A28" s="610" t="s">
        <v>1414</v>
      </c>
      <c r="B28" s="899" t="s">
        <v>341</v>
      </c>
      <c r="C28" s="626"/>
      <c r="D28" s="627">
        <v>0</v>
      </c>
      <c r="E28" s="628"/>
      <c r="F28" s="627">
        <v>0</v>
      </c>
      <c r="G28" s="628"/>
      <c r="H28" s="627">
        <f t="shared" ref="H28:H40" si="0">J28-F28</f>
        <v>0</v>
      </c>
      <c r="I28" s="628"/>
      <c r="J28" s="627">
        <v>0</v>
      </c>
      <c r="K28" s="628"/>
      <c r="L28" s="627">
        <v>200000</v>
      </c>
      <c r="O28" s="950"/>
    </row>
    <row r="29" spans="1:15" s="629" customFormat="1" ht="16.5" customHeight="1">
      <c r="A29" s="610" t="s">
        <v>1440</v>
      </c>
      <c r="B29" s="739" t="s">
        <v>341</v>
      </c>
      <c r="C29" s="626"/>
      <c r="D29" s="627">
        <v>0</v>
      </c>
      <c r="E29" s="628"/>
      <c r="F29" s="627">
        <v>0</v>
      </c>
      <c r="G29" s="628"/>
      <c r="H29" s="627">
        <f t="shared" si="0"/>
        <v>200000</v>
      </c>
      <c r="I29" s="628"/>
      <c r="J29" s="627">
        <v>200000</v>
      </c>
      <c r="K29" s="628"/>
      <c r="L29" s="627">
        <v>0</v>
      </c>
      <c r="O29" s="950"/>
    </row>
    <row r="30" spans="1:15" s="629" customFormat="1" ht="16.5" customHeight="1">
      <c r="A30" s="610" t="s">
        <v>1441</v>
      </c>
      <c r="B30" s="739" t="s">
        <v>341</v>
      </c>
      <c r="C30" s="626"/>
      <c r="D30" s="627">
        <v>100000</v>
      </c>
      <c r="E30" s="628"/>
      <c r="F30" s="627">
        <v>0</v>
      </c>
      <c r="G30" s="628"/>
      <c r="H30" s="627">
        <f t="shared" si="0"/>
        <v>0</v>
      </c>
      <c r="I30" s="628"/>
      <c r="J30" s="627">
        <v>0</v>
      </c>
      <c r="K30" s="628"/>
      <c r="L30" s="627">
        <v>0</v>
      </c>
      <c r="O30" s="950"/>
    </row>
    <row r="31" spans="1:15" s="629" customFormat="1" ht="16.5" customHeight="1">
      <c r="A31" s="610" t="s">
        <v>1442</v>
      </c>
      <c r="B31" s="838" t="s">
        <v>341</v>
      </c>
      <c r="C31" s="626"/>
      <c r="D31" s="627">
        <v>0</v>
      </c>
      <c r="E31" s="628"/>
      <c r="F31" s="627">
        <v>0</v>
      </c>
      <c r="G31" s="628"/>
      <c r="H31" s="627">
        <f t="shared" ref="H31:H33" si="1">J31-F31</f>
        <v>200000</v>
      </c>
      <c r="I31" s="628"/>
      <c r="J31" s="627">
        <v>200000</v>
      </c>
      <c r="K31" s="628"/>
      <c r="L31" s="627">
        <v>0</v>
      </c>
      <c r="O31" s="950"/>
    </row>
    <row r="32" spans="1:15" s="629" customFormat="1" ht="16.5" customHeight="1">
      <c r="A32" s="610" t="s">
        <v>1443</v>
      </c>
      <c r="B32" s="838" t="s">
        <v>341</v>
      </c>
      <c r="C32" s="626"/>
      <c r="D32" s="627">
        <v>0</v>
      </c>
      <c r="E32" s="628"/>
      <c r="F32" s="627">
        <v>0</v>
      </c>
      <c r="G32" s="628"/>
      <c r="H32" s="627">
        <f t="shared" si="1"/>
        <v>200000</v>
      </c>
      <c r="I32" s="628"/>
      <c r="J32" s="627">
        <v>200000</v>
      </c>
      <c r="K32" s="628"/>
      <c r="L32" s="627">
        <v>0</v>
      </c>
      <c r="O32" s="950"/>
    </row>
    <row r="33" spans="1:15" s="629" customFormat="1" ht="16.5" customHeight="1">
      <c r="A33" s="610" t="s">
        <v>1444</v>
      </c>
      <c r="B33" s="838" t="s">
        <v>341</v>
      </c>
      <c r="C33" s="626"/>
      <c r="D33" s="627">
        <v>0</v>
      </c>
      <c r="E33" s="628"/>
      <c r="F33" s="627">
        <v>0</v>
      </c>
      <c r="G33" s="628"/>
      <c r="H33" s="627">
        <f t="shared" si="1"/>
        <v>200000</v>
      </c>
      <c r="I33" s="628"/>
      <c r="J33" s="627">
        <v>200000</v>
      </c>
      <c r="K33" s="628"/>
      <c r="L33" s="627">
        <v>0</v>
      </c>
      <c r="O33" s="950"/>
    </row>
    <row r="34" spans="1:15" s="629" customFormat="1" ht="16.5" customHeight="1">
      <c r="A34" s="610" t="s">
        <v>1445</v>
      </c>
      <c r="B34" s="739" t="s">
        <v>341</v>
      </c>
      <c r="C34" s="626"/>
      <c r="D34" s="627">
        <v>0</v>
      </c>
      <c r="E34" s="628"/>
      <c r="F34" s="627">
        <v>0</v>
      </c>
      <c r="G34" s="628"/>
      <c r="H34" s="627">
        <f t="shared" si="0"/>
        <v>100000</v>
      </c>
      <c r="I34" s="628"/>
      <c r="J34" s="627">
        <v>100000</v>
      </c>
      <c r="K34" s="628"/>
      <c r="L34" s="627">
        <v>200000</v>
      </c>
      <c r="O34" s="950"/>
    </row>
    <row r="35" spans="1:15" s="629" customFormat="1" ht="15.75" customHeight="1">
      <c r="A35" s="610" t="s">
        <v>1417</v>
      </c>
      <c r="B35" s="899" t="s">
        <v>996</v>
      </c>
      <c r="C35" s="626"/>
      <c r="D35" s="627"/>
      <c r="E35" s="628"/>
      <c r="F35" s="627"/>
      <c r="G35" s="628"/>
      <c r="H35" s="627"/>
      <c r="I35" s="628"/>
      <c r="J35" s="627"/>
      <c r="K35" s="628"/>
      <c r="L35" s="627"/>
      <c r="O35" s="950"/>
    </row>
    <row r="36" spans="1:15" s="629" customFormat="1" ht="15.75" customHeight="1">
      <c r="A36" s="610" t="s">
        <v>1418</v>
      </c>
      <c r="B36" s="899"/>
      <c r="C36" s="626"/>
      <c r="D36" s="627">
        <v>0</v>
      </c>
      <c r="E36" s="628"/>
      <c r="F36" s="627">
        <v>0</v>
      </c>
      <c r="G36" s="628"/>
      <c r="H36" s="627">
        <f t="shared" si="0"/>
        <v>0</v>
      </c>
      <c r="I36" s="628"/>
      <c r="J36" s="627">
        <v>0</v>
      </c>
      <c r="K36" s="628"/>
      <c r="L36" s="627">
        <v>200000</v>
      </c>
      <c r="O36" s="950"/>
    </row>
    <row r="37" spans="1:15" s="629" customFormat="1" ht="15.75" customHeight="1">
      <c r="A37" s="610" t="s">
        <v>1419</v>
      </c>
      <c r="B37" s="899"/>
      <c r="C37" s="626"/>
      <c r="D37" s="627">
        <v>0</v>
      </c>
      <c r="E37" s="628"/>
      <c r="F37" s="627">
        <v>0</v>
      </c>
      <c r="G37" s="628"/>
      <c r="H37" s="627">
        <f t="shared" si="0"/>
        <v>0</v>
      </c>
      <c r="I37" s="628"/>
      <c r="J37" s="627">
        <v>0</v>
      </c>
      <c r="K37" s="628"/>
      <c r="L37" s="627">
        <v>1000000</v>
      </c>
      <c r="O37" s="950"/>
    </row>
    <row r="38" spans="1:15" s="629" customFormat="1" ht="15.75" customHeight="1">
      <c r="A38" s="610" t="s">
        <v>1420</v>
      </c>
      <c r="B38" s="899"/>
      <c r="C38" s="626"/>
      <c r="D38" s="627">
        <v>0</v>
      </c>
      <c r="E38" s="628"/>
      <c r="F38" s="627">
        <v>0</v>
      </c>
      <c r="G38" s="628"/>
      <c r="H38" s="627">
        <f t="shared" si="0"/>
        <v>0</v>
      </c>
      <c r="I38" s="628"/>
      <c r="J38" s="627">
        <v>0</v>
      </c>
      <c r="K38" s="628"/>
      <c r="L38" s="627">
        <v>600000</v>
      </c>
      <c r="O38" s="950"/>
    </row>
    <row r="39" spans="1:15" s="629" customFormat="1" ht="15.75" customHeight="1">
      <c r="A39" s="610" t="s">
        <v>1421</v>
      </c>
      <c r="B39" s="899"/>
      <c r="C39" s="626"/>
      <c r="D39" s="627">
        <v>0</v>
      </c>
      <c r="E39" s="628"/>
      <c r="F39" s="627">
        <v>0</v>
      </c>
      <c r="G39" s="628"/>
      <c r="H39" s="627">
        <f t="shared" si="0"/>
        <v>0</v>
      </c>
      <c r="I39" s="628"/>
      <c r="J39" s="627">
        <v>0</v>
      </c>
      <c r="K39" s="628"/>
      <c r="L39" s="627">
        <v>800000</v>
      </c>
      <c r="O39" s="950"/>
    </row>
    <row r="40" spans="1:15" s="629" customFormat="1" ht="15.75" customHeight="1">
      <c r="A40" s="610" t="s">
        <v>1422</v>
      </c>
      <c r="B40" s="899"/>
      <c r="C40" s="626"/>
      <c r="D40" s="627">
        <v>0</v>
      </c>
      <c r="E40" s="628"/>
      <c r="F40" s="627">
        <v>0</v>
      </c>
      <c r="G40" s="628"/>
      <c r="H40" s="627">
        <f t="shared" si="0"/>
        <v>0</v>
      </c>
      <c r="I40" s="628"/>
      <c r="J40" s="627">
        <v>0</v>
      </c>
      <c r="K40" s="628"/>
      <c r="L40" s="627">
        <v>800000</v>
      </c>
      <c r="O40" s="950"/>
    </row>
    <row r="41" spans="1:15" s="629" customFormat="1" ht="21" customHeight="1">
      <c r="A41" s="610" t="s">
        <v>1260</v>
      </c>
      <c r="B41" s="1434"/>
      <c r="C41" s="626"/>
      <c r="D41" s="627"/>
      <c r="E41" s="628"/>
      <c r="F41" s="627"/>
      <c r="G41" s="628"/>
      <c r="H41" s="627"/>
      <c r="I41" s="628"/>
      <c r="J41" s="627"/>
      <c r="K41" s="628"/>
      <c r="L41" s="627"/>
      <c r="O41" s="950"/>
    </row>
    <row r="42" spans="1:15" s="629" customFormat="1" ht="12.75">
      <c r="A42" s="610" t="s">
        <v>1261</v>
      </c>
      <c r="B42" s="1434"/>
      <c r="C42" s="626"/>
      <c r="D42" s="627"/>
      <c r="E42" s="628"/>
      <c r="F42" s="627"/>
      <c r="G42" s="628"/>
      <c r="H42" s="627"/>
      <c r="I42" s="628"/>
      <c r="J42" s="627"/>
      <c r="K42" s="628"/>
      <c r="L42" s="627"/>
      <c r="O42" s="950"/>
    </row>
    <row r="43" spans="1:15" s="629" customFormat="1" ht="12.75">
      <c r="A43" s="610" t="s">
        <v>897</v>
      </c>
      <c r="B43" s="735" t="s">
        <v>862</v>
      </c>
      <c r="C43" s="626"/>
      <c r="D43" s="627">
        <v>9995000</v>
      </c>
      <c r="E43" s="628"/>
      <c r="F43" s="627">
        <v>0</v>
      </c>
      <c r="G43" s="628"/>
      <c r="H43" s="627">
        <f>J43-F43</f>
        <v>0</v>
      </c>
      <c r="I43" s="628"/>
      <c r="J43" s="627">
        <v>0</v>
      </c>
      <c r="K43" s="628"/>
      <c r="L43" s="627">
        <v>0</v>
      </c>
      <c r="O43" s="950"/>
    </row>
    <row r="44" spans="1:15" s="629" customFormat="1" ht="12.75">
      <c r="A44" s="610" t="s">
        <v>1262</v>
      </c>
      <c r="B44" s="735" t="s">
        <v>862</v>
      </c>
      <c r="C44" s="626"/>
      <c r="D44" s="627">
        <v>100000</v>
      </c>
      <c r="E44" s="628"/>
      <c r="F44" s="627">
        <v>0</v>
      </c>
      <c r="G44" s="628"/>
      <c r="H44" s="627">
        <f>J44-F44</f>
        <v>0</v>
      </c>
      <c r="I44" s="628"/>
      <c r="J44" s="627">
        <v>0</v>
      </c>
      <c r="K44" s="628"/>
      <c r="L44" s="627">
        <v>0</v>
      </c>
      <c r="O44" s="950"/>
    </row>
    <row r="45" spans="1:15" s="629" customFormat="1" ht="16.5" customHeight="1">
      <c r="A45" s="610" t="s">
        <v>1263</v>
      </c>
      <c r="B45" s="849"/>
      <c r="C45" s="626"/>
      <c r="D45" s="627"/>
      <c r="E45" s="628"/>
      <c r="F45" s="627"/>
      <c r="G45" s="628"/>
      <c r="H45" s="627"/>
      <c r="I45" s="628"/>
      <c r="J45" s="627"/>
      <c r="K45" s="628"/>
      <c r="L45" s="627"/>
      <c r="O45" s="950"/>
    </row>
    <row r="46" spans="1:15" s="629" customFormat="1" ht="12.75">
      <c r="A46" s="610" t="s">
        <v>1345</v>
      </c>
      <c r="B46" s="899"/>
      <c r="C46" s="626"/>
      <c r="D46" s="627">
        <v>691350</v>
      </c>
      <c r="E46" s="628"/>
      <c r="F46" s="627">
        <v>0</v>
      </c>
      <c r="G46" s="628"/>
      <c r="H46" s="627">
        <f t="shared" ref="H46:H49" si="2">J46-F46</f>
        <v>0</v>
      </c>
      <c r="I46" s="628"/>
      <c r="J46" s="627">
        <v>0</v>
      </c>
      <c r="K46" s="628"/>
      <c r="L46" s="627">
        <v>0</v>
      </c>
      <c r="O46" s="950"/>
    </row>
    <row r="47" spans="1:15" s="629" customFormat="1" ht="12.75">
      <c r="A47" s="610" t="s">
        <v>1390</v>
      </c>
      <c r="B47" s="899"/>
      <c r="C47" s="626"/>
      <c r="D47" s="627">
        <v>1560670</v>
      </c>
      <c r="E47" s="628"/>
      <c r="F47" s="627">
        <v>0</v>
      </c>
      <c r="G47" s="628"/>
      <c r="H47" s="627">
        <f t="shared" si="2"/>
        <v>0</v>
      </c>
      <c r="I47" s="628"/>
      <c r="J47" s="627">
        <v>0</v>
      </c>
      <c r="K47" s="628"/>
      <c r="L47" s="627">
        <v>0</v>
      </c>
      <c r="O47" s="950"/>
    </row>
    <row r="48" spans="1:15" s="629" customFormat="1" ht="12.75">
      <c r="A48" s="610" t="s">
        <v>1391</v>
      </c>
      <c r="B48" s="899"/>
      <c r="C48" s="626"/>
      <c r="D48" s="627">
        <v>999733</v>
      </c>
      <c r="E48" s="628"/>
      <c r="F48" s="627">
        <v>0</v>
      </c>
      <c r="G48" s="628"/>
      <c r="H48" s="627">
        <f t="shared" si="2"/>
        <v>0</v>
      </c>
      <c r="I48" s="628"/>
      <c r="J48" s="627">
        <v>0</v>
      </c>
      <c r="K48" s="628"/>
      <c r="L48" s="627">
        <v>0</v>
      </c>
      <c r="O48" s="950"/>
    </row>
    <row r="49" spans="1:15" s="629" customFormat="1" ht="12.75">
      <c r="A49" s="610" t="s">
        <v>1389</v>
      </c>
      <c r="B49" s="899"/>
      <c r="C49" s="626"/>
      <c r="D49" s="627">
        <v>504485</v>
      </c>
      <c r="E49" s="628"/>
      <c r="F49" s="627">
        <v>0</v>
      </c>
      <c r="G49" s="628"/>
      <c r="H49" s="627">
        <f t="shared" si="2"/>
        <v>0</v>
      </c>
      <c r="I49" s="628"/>
      <c r="J49" s="627">
        <v>0</v>
      </c>
      <c r="K49" s="628"/>
      <c r="L49" s="627">
        <v>0</v>
      </c>
      <c r="O49" s="950"/>
    </row>
    <row r="50" spans="1:15" s="629" customFormat="1" ht="38.25">
      <c r="A50" s="888" t="s">
        <v>1392</v>
      </c>
      <c r="B50" s="899"/>
      <c r="C50" s="626"/>
      <c r="D50" s="627"/>
      <c r="E50" s="628"/>
      <c r="F50" s="627"/>
      <c r="G50" s="628"/>
      <c r="H50" s="627"/>
      <c r="I50" s="628"/>
      <c r="J50" s="627"/>
      <c r="K50" s="628"/>
      <c r="L50" s="627"/>
      <c r="O50" s="950"/>
    </row>
    <row r="51" spans="1:15" s="629" customFormat="1" ht="12.75">
      <c r="A51" s="610" t="s">
        <v>1393</v>
      </c>
      <c r="B51" s="899"/>
      <c r="C51" s="626"/>
      <c r="D51" s="627">
        <v>1109303.06</v>
      </c>
      <c r="E51" s="628"/>
      <c r="F51" s="627">
        <v>0</v>
      </c>
      <c r="G51" s="628"/>
      <c r="H51" s="627">
        <f t="shared" ref="H51:H54" si="3">J51-F51</f>
        <v>0</v>
      </c>
      <c r="I51" s="628"/>
      <c r="J51" s="627">
        <v>0</v>
      </c>
      <c r="K51" s="628"/>
      <c r="L51" s="627">
        <v>0</v>
      </c>
      <c r="O51" s="950"/>
    </row>
    <row r="52" spans="1:15" s="629" customFormat="1" ht="12.75">
      <c r="A52" s="610" t="s">
        <v>1394</v>
      </c>
      <c r="B52" s="899"/>
      <c r="C52" s="626"/>
      <c r="D52" s="627">
        <v>7563980.4000000004</v>
      </c>
      <c r="E52" s="628"/>
      <c r="F52" s="627">
        <v>0</v>
      </c>
      <c r="G52" s="628"/>
      <c r="H52" s="627">
        <f t="shared" si="3"/>
        <v>0</v>
      </c>
      <c r="I52" s="628"/>
      <c r="J52" s="627">
        <v>0</v>
      </c>
      <c r="K52" s="628"/>
      <c r="L52" s="627">
        <v>0</v>
      </c>
      <c r="O52" s="950"/>
    </row>
    <row r="53" spans="1:15" s="629" customFormat="1" ht="12" customHeight="1">
      <c r="A53" s="888" t="s">
        <v>1395</v>
      </c>
      <c r="B53" s="899"/>
      <c r="C53" s="626"/>
      <c r="D53" s="627">
        <v>169000</v>
      </c>
      <c r="E53" s="628"/>
      <c r="F53" s="627">
        <v>0</v>
      </c>
      <c r="G53" s="628"/>
      <c r="H53" s="627">
        <f t="shared" si="3"/>
        <v>0</v>
      </c>
      <c r="I53" s="628"/>
      <c r="J53" s="627">
        <v>0</v>
      </c>
      <c r="K53" s="628"/>
      <c r="L53" s="627">
        <v>0</v>
      </c>
      <c r="O53" s="950"/>
    </row>
    <row r="54" spans="1:15" s="629" customFormat="1" ht="21" customHeight="1">
      <c r="A54" s="888" t="s">
        <v>1396</v>
      </c>
      <c r="B54" s="899"/>
      <c r="C54" s="626"/>
      <c r="D54" s="627">
        <v>1953050</v>
      </c>
      <c r="E54" s="628"/>
      <c r="F54" s="627">
        <v>0</v>
      </c>
      <c r="G54" s="628"/>
      <c r="H54" s="627">
        <f t="shared" si="3"/>
        <v>0</v>
      </c>
      <c r="I54" s="628"/>
      <c r="J54" s="627">
        <v>0</v>
      </c>
      <c r="K54" s="628"/>
      <c r="L54" s="627">
        <v>0</v>
      </c>
      <c r="O54" s="950"/>
    </row>
    <row r="55" spans="1:15" s="629" customFormat="1" ht="17.25" customHeight="1">
      <c r="A55" s="888" t="s">
        <v>1397</v>
      </c>
      <c r="B55" s="899"/>
      <c r="C55" s="626"/>
      <c r="D55" s="627"/>
      <c r="E55" s="628"/>
      <c r="F55" s="627"/>
      <c r="G55" s="628"/>
      <c r="H55" s="627"/>
      <c r="I55" s="628"/>
      <c r="J55" s="627"/>
      <c r="K55" s="628"/>
      <c r="L55" s="627"/>
      <c r="O55" s="950"/>
    </row>
    <row r="56" spans="1:15" s="629" customFormat="1" ht="17.25" customHeight="1">
      <c r="A56" s="610" t="s">
        <v>1398</v>
      </c>
      <c r="B56" s="899"/>
      <c r="C56" s="626"/>
      <c r="D56" s="627">
        <v>284800</v>
      </c>
      <c r="E56" s="628"/>
      <c r="F56" s="627">
        <v>0</v>
      </c>
      <c r="G56" s="628"/>
      <c r="H56" s="627">
        <f>J56-F56</f>
        <v>0</v>
      </c>
      <c r="I56" s="628"/>
      <c r="J56" s="627">
        <v>0</v>
      </c>
      <c r="K56" s="628"/>
      <c r="L56" s="627">
        <v>0</v>
      </c>
      <c r="O56" s="950"/>
    </row>
    <row r="57" spans="1:15" s="629" customFormat="1" ht="16.5" customHeight="1">
      <c r="A57" s="630" t="s">
        <v>1264</v>
      </c>
      <c r="B57" s="907"/>
      <c r="C57" s="631"/>
      <c r="D57" s="632">
        <v>0</v>
      </c>
      <c r="E57" s="633"/>
      <c r="F57" s="632">
        <v>0</v>
      </c>
      <c r="G57" s="633"/>
      <c r="H57" s="632">
        <f t="shared" ref="H57:H58" si="4">J57-F57</f>
        <v>3500000</v>
      </c>
      <c r="I57" s="633"/>
      <c r="J57" s="632">
        <v>3500000</v>
      </c>
      <c r="K57" s="633"/>
      <c r="L57" s="632">
        <v>0</v>
      </c>
      <c r="O57" s="950"/>
    </row>
    <row r="58" spans="1:15" s="629" customFormat="1" ht="16.5" customHeight="1">
      <c r="A58" s="610" t="s">
        <v>1265</v>
      </c>
      <c r="B58" s="849"/>
      <c r="C58" s="626"/>
      <c r="D58" s="627">
        <v>0</v>
      </c>
      <c r="E58" s="628"/>
      <c r="F58" s="627">
        <v>0</v>
      </c>
      <c r="G58" s="628"/>
      <c r="H58" s="627">
        <f t="shared" si="4"/>
        <v>1000000</v>
      </c>
      <c r="I58" s="628"/>
      <c r="J58" s="627">
        <v>1000000</v>
      </c>
      <c r="K58" s="628"/>
      <c r="L58" s="627">
        <v>0</v>
      </c>
      <c r="O58" s="950"/>
    </row>
    <row r="59" spans="1:15" s="629" customFormat="1" ht="16.5" customHeight="1">
      <c r="A59" s="610" t="s">
        <v>1266</v>
      </c>
      <c r="B59" s="849"/>
      <c r="C59" s="626"/>
      <c r="D59" s="627">
        <v>0</v>
      </c>
      <c r="E59" s="628"/>
      <c r="F59" s="627">
        <v>0</v>
      </c>
      <c r="G59" s="628"/>
      <c r="H59" s="627">
        <f t="shared" ref="H59" si="5">J59-F59</f>
        <v>500000</v>
      </c>
      <c r="I59" s="628"/>
      <c r="J59" s="627">
        <v>500000</v>
      </c>
      <c r="K59" s="628"/>
      <c r="L59" s="627">
        <v>0</v>
      </c>
      <c r="O59" s="950"/>
    </row>
    <row r="60" spans="1:15" s="629" customFormat="1" ht="15" customHeight="1">
      <c r="A60" s="610" t="s">
        <v>1267</v>
      </c>
      <c r="B60" s="1434"/>
      <c r="C60" s="626"/>
      <c r="D60" s="627"/>
      <c r="E60" s="628"/>
      <c r="F60" s="627"/>
      <c r="G60" s="628"/>
      <c r="H60" s="627"/>
      <c r="I60" s="628"/>
      <c r="J60" s="627"/>
      <c r="K60" s="628"/>
      <c r="L60" s="627"/>
      <c r="O60" s="950"/>
    </row>
    <row r="61" spans="1:15" s="629" customFormat="1" ht="10.5" customHeight="1">
      <c r="A61" s="610" t="s">
        <v>948</v>
      </c>
      <c r="B61" s="1434"/>
      <c r="C61" s="626"/>
      <c r="D61" s="627"/>
      <c r="E61" s="628"/>
      <c r="F61" s="627"/>
      <c r="G61" s="628"/>
      <c r="H61" s="627"/>
      <c r="I61" s="628"/>
      <c r="J61" s="627"/>
      <c r="K61" s="628"/>
      <c r="L61" s="627"/>
      <c r="O61" s="950"/>
    </row>
    <row r="62" spans="1:15" s="629" customFormat="1" ht="12.75">
      <c r="A62" s="610" t="s">
        <v>1269</v>
      </c>
      <c r="B62" s="838"/>
      <c r="C62" s="626"/>
      <c r="D62" s="627">
        <v>0</v>
      </c>
      <c r="E62" s="628"/>
      <c r="F62" s="627">
        <v>0</v>
      </c>
      <c r="G62" s="628"/>
      <c r="H62" s="627">
        <f t="shared" ref="H62:H63" si="6">J62-F62</f>
        <v>100000</v>
      </c>
      <c r="I62" s="628"/>
      <c r="J62" s="627">
        <v>100000</v>
      </c>
      <c r="K62" s="628"/>
      <c r="L62" s="627">
        <v>0</v>
      </c>
      <c r="O62" s="950"/>
    </row>
    <row r="63" spans="1:15" s="629" customFormat="1" ht="12.75">
      <c r="A63" s="610" t="s">
        <v>1268</v>
      </c>
      <c r="B63" s="899" t="s">
        <v>253</v>
      </c>
      <c r="C63" s="626"/>
      <c r="D63" s="627">
        <v>0</v>
      </c>
      <c r="E63" s="628"/>
      <c r="F63" s="627">
        <v>0</v>
      </c>
      <c r="G63" s="628"/>
      <c r="H63" s="627">
        <f t="shared" si="6"/>
        <v>200000</v>
      </c>
      <c r="I63" s="628"/>
      <c r="J63" s="627">
        <v>200000</v>
      </c>
      <c r="K63" s="628"/>
      <c r="L63" s="627">
        <v>0</v>
      </c>
      <c r="O63" s="950"/>
    </row>
    <row r="64" spans="1:15" s="629" customFormat="1" ht="15" customHeight="1">
      <c r="A64" s="610" t="s">
        <v>1415</v>
      </c>
      <c r="B64" s="735" t="s">
        <v>253</v>
      </c>
      <c r="C64" s="626"/>
      <c r="D64" s="627">
        <v>0</v>
      </c>
      <c r="E64" s="628"/>
      <c r="F64" s="627">
        <v>0</v>
      </c>
      <c r="G64" s="628"/>
      <c r="H64" s="627">
        <f>J64-F64</f>
        <v>0</v>
      </c>
      <c r="I64" s="628"/>
      <c r="J64" s="627">
        <v>0</v>
      </c>
      <c r="K64" s="628"/>
      <c r="L64" s="627">
        <v>200000</v>
      </c>
      <c r="O64" s="950"/>
    </row>
    <row r="65" spans="1:15" s="629" customFormat="1" ht="15" customHeight="1">
      <c r="A65" s="610" t="s">
        <v>1416</v>
      </c>
      <c r="B65" s="899" t="s">
        <v>253</v>
      </c>
      <c r="C65" s="626"/>
      <c r="D65" s="627">
        <v>0</v>
      </c>
      <c r="E65" s="628"/>
      <c r="F65" s="627">
        <v>0</v>
      </c>
      <c r="G65" s="628"/>
      <c r="H65" s="627">
        <f>J65-F65</f>
        <v>0</v>
      </c>
      <c r="I65" s="628"/>
      <c r="J65" s="627">
        <v>0</v>
      </c>
      <c r="K65" s="628"/>
      <c r="L65" s="627">
        <v>200000</v>
      </c>
      <c r="O65" s="950"/>
    </row>
    <row r="66" spans="1:15" s="629" customFormat="1" ht="15" customHeight="1">
      <c r="A66" s="610" t="s">
        <v>1270</v>
      </c>
      <c r="B66" s="838"/>
      <c r="C66" s="626"/>
      <c r="D66" s="627"/>
      <c r="E66" s="628"/>
      <c r="F66" s="627"/>
      <c r="G66" s="628"/>
      <c r="H66" s="627"/>
      <c r="I66" s="628"/>
      <c r="J66" s="627"/>
      <c r="K66" s="628"/>
      <c r="L66" s="627"/>
      <c r="O66" s="950"/>
    </row>
    <row r="67" spans="1:15" s="629" customFormat="1" ht="12.75">
      <c r="A67" s="610" t="s">
        <v>1271</v>
      </c>
      <c r="B67" s="838"/>
      <c r="C67" s="626"/>
      <c r="D67" s="627">
        <v>0</v>
      </c>
      <c r="E67" s="628"/>
      <c r="F67" s="627">
        <v>0</v>
      </c>
      <c r="G67" s="628"/>
      <c r="H67" s="627">
        <f t="shared" ref="H67:H69" si="7">J67-F67</f>
        <v>3000000</v>
      </c>
      <c r="I67" s="628"/>
      <c r="J67" s="627">
        <v>3000000</v>
      </c>
      <c r="K67" s="628"/>
      <c r="L67" s="627">
        <v>0</v>
      </c>
      <c r="O67" s="950"/>
    </row>
    <row r="68" spans="1:15" s="629" customFormat="1" ht="12.75">
      <c r="A68" s="610" t="s">
        <v>1272</v>
      </c>
      <c r="B68" s="838" t="s">
        <v>341</v>
      </c>
      <c r="C68" s="626"/>
      <c r="D68" s="627">
        <v>0</v>
      </c>
      <c r="E68" s="628"/>
      <c r="F68" s="627">
        <v>0</v>
      </c>
      <c r="G68" s="628"/>
      <c r="H68" s="627">
        <f t="shared" ref="H68" si="8">J68-F68</f>
        <v>1900000</v>
      </c>
      <c r="I68" s="628"/>
      <c r="J68" s="627">
        <v>1900000</v>
      </c>
      <c r="K68" s="628"/>
      <c r="L68" s="627">
        <v>0</v>
      </c>
      <c r="O68" s="950"/>
    </row>
    <row r="69" spans="1:15" s="629" customFormat="1" ht="12.75">
      <c r="A69" s="610" t="s">
        <v>1273</v>
      </c>
      <c r="B69" s="838" t="s">
        <v>341</v>
      </c>
      <c r="C69" s="626"/>
      <c r="D69" s="627">
        <v>0</v>
      </c>
      <c r="E69" s="628"/>
      <c r="F69" s="627">
        <v>0</v>
      </c>
      <c r="G69" s="628"/>
      <c r="H69" s="627">
        <f t="shared" si="7"/>
        <v>1000000</v>
      </c>
      <c r="I69" s="628"/>
      <c r="J69" s="627">
        <v>1000000</v>
      </c>
      <c r="K69" s="628"/>
      <c r="L69" s="627">
        <v>0</v>
      </c>
      <c r="O69" s="950"/>
    </row>
    <row r="70" spans="1:15" s="629" customFormat="1" ht="15" customHeight="1">
      <c r="A70" s="610" t="s">
        <v>1274</v>
      </c>
      <c r="B70" s="838"/>
      <c r="C70" s="626"/>
      <c r="D70" s="627">
        <v>0</v>
      </c>
      <c r="E70" s="628"/>
      <c r="F70" s="627">
        <v>0</v>
      </c>
      <c r="G70" s="628"/>
      <c r="H70" s="627">
        <f t="shared" ref="H70:H77" si="9">J70-F70</f>
        <v>3000000</v>
      </c>
      <c r="I70" s="628"/>
      <c r="J70" s="627">
        <v>3000000</v>
      </c>
      <c r="K70" s="628"/>
      <c r="L70" s="627">
        <v>0</v>
      </c>
      <c r="O70" s="950"/>
    </row>
    <row r="71" spans="1:15" s="629" customFormat="1" ht="21" customHeight="1">
      <c r="A71" s="610" t="s">
        <v>1343</v>
      </c>
      <c r="B71" s="1434"/>
      <c r="C71" s="626"/>
      <c r="D71" s="627"/>
      <c r="E71" s="628"/>
      <c r="F71" s="627"/>
      <c r="G71" s="628"/>
      <c r="H71" s="627"/>
      <c r="I71" s="628"/>
      <c r="J71" s="627"/>
      <c r="K71" s="628"/>
      <c r="L71" s="627"/>
      <c r="O71" s="950"/>
    </row>
    <row r="72" spans="1:15" s="629" customFormat="1" ht="12.75">
      <c r="A72" s="610" t="s">
        <v>1344</v>
      </c>
      <c r="B72" s="1434"/>
      <c r="C72" s="626"/>
      <c r="D72" s="627">
        <v>30000</v>
      </c>
      <c r="E72" s="628"/>
      <c r="F72" s="627">
        <v>0</v>
      </c>
      <c r="G72" s="628"/>
      <c r="H72" s="627">
        <f t="shared" si="9"/>
        <v>0</v>
      </c>
      <c r="I72" s="628"/>
      <c r="J72" s="627">
        <v>0</v>
      </c>
      <c r="K72" s="628"/>
      <c r="L72" s="627">
        <v>0</v>
      </c>
      <c r="O72" s="950"/>
    </row>
    <row r="73" spans="1:15" s="629" customFormat="1" ht="21" customHeight="1">
      <c r="A73" s="610" t="s">
        <v>1399</v>
      </c>
      <c r="B73" s="899"/>
      <c r="C73" s="626"/>
      <c r="D73" s="627">
        <v>2272525</v>
      </c>
      <c r="E73" s="628"/>
      <c r="F73" s="627">
        <v>0</v>
      </c>
      <c r="G73" s="628"/>
      <c r="H73" s="627">
        <f t="shared" si="9"/>
        <v>0</v>
      </c>
      <c r="I73" s="628"/>
      <c r="J73" s="627">
        <v>0</v>
      </c>
      <c r="K73" s="628"/>
      <c r="L73" s="627">
        <v>0</v>
      </c>
      <c r="O73" s="950"/>
    </row>
    <row r="74" spans="1:15" s="629" customFormat="1" ht="21" customHeight="1">
      <c r="A74" s="610" t="s">
        <v>1423</v>
      </c>
      <c r="B74" s="899" t="s">
        <v>996</v>
      </c>
      <c r="C74" s="626"/>
      <c r="D74" s="627"/>
      <c r="E74" s="628"/>
      <c r="F74" s="627"/>
      <c r="G74" s="628"/>
      <c r="H74" s="627"/>
      <c r="I74" s="628"/>
      <c r="J74" s="627"/>
      <c r="K74" s="628"/>
      <c r="L74" s="627"/>
      <c r="O74" s="950"/>
    </row>
    <row r="75" spans="1:15" s="629" customFormat="1" ht="21" customHeight="1">
      <c r="A75" s="610" t="s">
        <v>1424</v>
      </c>
      <c r="B75" s="899"/>
      <c r="C75" s="626"/>
      <c r="D75" s="627">
        <v>0</v>
      </c>
      <c r="E75" s="628"/>
      <c r="F75" s="627">
        <v>0</v>
      </c>
      <c r="G75" s="628"/>
      <c r="H75" s="627">
        <f t="shared" si="9"/>
        <v>0</v>
      </c>
      <c r="I75" s="628"/>
      <c r="J75" s="627">
        <v>0</v>
      </c>
      <c r="K75" s="628"/>
      <c r="L75" s="627">
        <v>800000</v>
      </c>
      <c r="O75" s="950"/>
    </row>
    <row r="76" spans="1:15" s="629" customFormat="1" ht="21" customHeight="1">
      <c r="A76" s="610" t="s">
        <v>1425</v>
      </c>
      <c r="B76" s="899"/>
      <c r="C76" s="626"/>
      <c r="D76" s="627">
        <v>0</v>
      </c>
      <c r="E76" s="628"/>
      <c r="F76" s="627">
        <v>0</v>
      </c>
      <c r="G76" s="628"/>
      <c r="H76" s="627">
        <f t="shared" si="9"/>
        <v>0</v>
      </c>
      <c r="I76" s="628"/>
      <c r="J76" s="627">
        <v>0</v>
      </c>
      <c r="K76" s="628"/>
      <c r="L76" s="627">
        <v>600000</v>
      </c>
      <c r="O76" s="950"/>
    </row>
    <row r="77" spans="1:15" s="629" customFormat="1" ht="21" customHeight="1">
      <c r="A77" s="610" t="s">
        <v>1426</v>
      </c>
      <c r="B77" s="899"/>
      <c r="C77" s="626"/>
      <c r="D77" s="627">
        <v>0</v>
      </c>
      <c r="E77" s="628"/>
      <c r="F77" s="627">
        <v>0</v>
      </c>
      <c r="G77" s="628"/>
      <c r="H77" s="627">
        <f t="shared" si="9"/>
        <v>0</v>
      </c>
      <c r="I77" s="628"/>
      <c r="J77" s="627">
        <v>0</v>
      </c>
      <c r="K77" s="628"/>
      <c r="L77" s="627">
        <v>16453950</v>
      </c>
      <c r="O77" s="950"/>
    </row>
    <row r="78" spans="1:15" s="629" customFormat="1" ht="21" customHeight="1">
      <c r="A78" s="610" t="s">
        <v>1483</v>
      </c>
      <c r="B78" s="902"/>
      <c r="C78" s="626"/>
      <c r="D78" s="627">
        <v>0</v>
      </c>
      <c r="E78" s="628"/>
      <c r="F78" s="627">
        <v>0</v>
      </c>
      <c r="G78" s="628"/>
      <c r="H78" s="627">
        <f t="shared" ref="H78" si="10">J78-F78</f>
        <v>0</v>
      </c>
      <c r="I78" s="628"/>
      <c r="J78" s="627">
        <v>0</v>
      </c>
      <c r="K78" s="628"/>
      <c r="L78" s="627">
        <v>600000</v>
      </c>
      <c r="O78" s="950"/>
    </row>
    <row r="79" spans="1:15" s="629" customFormat="1" ht="21" customHeight="1">
      <c r="A79" s="610" t="s">
        <v>1427</v>
      </c>
      <c r="B79" s="899" t="s">
        <v>253</v>
      </c>
      <c r="C79" s="626"/>
      <c r="D79" s="627">
        <v>0</v>
      </c>
      <c r="E79" s="628"/>
      <c r="F79" s="627">
        <v>0</v>
      </c>
      <c r="G79" s="628"/>
      <c r="H79" s="627">
        <v>0</v>
      </c>
      <c r="I79" s="628"/>
      <c r="J79" s="627">
        <v>0</v>
      </c>
      <c r="K79" s="628"/>
      <c r="L79" s="627">
        <v>3500000</v>
      </c>
      <c r="O79" s="950"/>
    </row>
    <row r="80" spans="1:15" s="613" customFormat="1" ht="12.75">
      <c r="A80" s="621" t="s">
        <v>898</v>
      </c>
      <c r="B80" s="726"/>
      <c r="C80" s="622"/>
      <c r="D80" s="623"/>
      <c r="E80" s="624"/>
      <c r="F80" s="623"/>
      <c r="G80" s="624"/>
      <c r="H80" s="623"/>
      <c r="I80" s="625"/>
      <c r="J80" s="623"/>
      <c r="K80" s="624"/>
      <c r="L80" s="623"/>
      <c r="O80" s="947"/>
    </row>
    <row r="81" spans="1:15" s="629" customFormat="1" ht="15" customHeight="1">
      <c r="A81" s="634" t="s">
        <v>899</v>
      </c>
      <c r="B81" s="727"/>
      <c r="C81" s="635"/>
      <c r="D81" s="636"/>
      <c r="E81" s="628"/>
      <c r="F81" s="637"/>
      <c r="G81" s="635"/>
      <c r="H81" s="627"/>
      <c r="I81" s="628"/>
      <c r="J81" s="637"/>
      <c r="K81" s="635"/>
      <c r="L81" s="637"/>
      <c r="O81" s="950"/>
    </row>
    <row r="82" spans="1:15" s="629" customFormat="1" ht="12.75">
      <c r="A82" s="634" t="s">
        <v>900</v>
      </c>
      <c r="B82" s="727"/>
      <c r="C82" s="626"/>
      <c r="D82" s="638"/>
      <c r="E82" s="626"/>
      <c r="F82" s="638"/>
      <c r="G82" s="626"/>
      <c r="H82" s="638"/>
      <c r="I82" s="626"/>
      <c r="J82" s="638"/>
      <c r="K82" s="626"/>
      <c r="L82" s="638"/>
      <c r="O82" s="950"/>
    </row>
    <row r="83" spans="1:15" s="629" customFormat="1" ht="12.75">
      <c r="A83" s="634" t="s">
        <v>901</v>
      </c>
      <c r="B83" s="727" t="s">
        <v>997</v>
      </c>
      <c r="C83" s="626"/>
      <c r="D83" s="639">
        <v>1536310.89</v>
      </c>
      <c r="E83" s="628"/>
      <c r="F83" s="637">
        <v>150683.07999999999</v>
      </c>
      <c r="G83" s="626"/>
      <c r="H83" s="627">
        <f>J83-F83</f>
        <v>2849316.92</v>
      </c>
      <c r="I83" s="628"/>
      <c r="J83" s="627">
        <v>3000000</v>
      </c>
      <c r="K83" s="626"/>
      <c r="L83" s="627">
        <v>3000000</v>
      </c>
      <c r="O83" s="950"/>
    </row>
    <row r="84" spans="1:15" s="629" customFormat="1" ht="12.75">
      <c r="A84" s="634" t="s">
        <v>1428</v>
      </c>
      <c r="B84" s="727" t="s">
        <v>997</v>
      </c>
      <c r="C84" s="626"/>
      <c r="D84" s="639"/>
      <c r="E84" s="628"/>
      <c r="F84" s="637"/>
      <c r="G84" s="626"/>
      <c r="H84" s="627"/>
      <c r="I84" s="628"/>
      <c r="J84" s="637"/>
      <c r="K84" s="626"/>
      <c r="L84" s="637"/>
      <c r="O84" s="950"/>
    </row>
    <row r="85" spans="1:15" s="629" customFormat="1" ht="12.75">
      <c r="A85" s="634" t="s">
        <v>1429</v>
      </c>
      <c r="B85" s="727"/>
      <c r="C85" s="626"/>
      <c r="D85" s="639"/>
      <c r="E85" s="628"/>
      <c r="F85" s="637"/>
      <c r="G85" s="626"/>
      <c r="H85" s="627"/>
      <c r="I85" s="628"/>
      <c r="J85" s="637"/>
      <c r="K85" s="626"/>
      <c r="L85" s="637"/>
      <c r="O85" s="950"/>
    </row>
    <row r="86" spans="1:15" s="629" customFormat="1" ht="12.75">
      <c r="A86" s="634" t="s">
        <v>1430</v>
      </c>
      <c r="B86" s="727"/>
      <c r="C86" s="626"/>
      <c r="D86" s="639"/>
      <c r="E86" s="628"/>
      <c r="F86" s="637"/>
      <c r="G86" s="626"/>
      <c r="H86" s="627"/>
      <c r="I86" s="628"/>
      <c r="J86" s="637"/>
      <c r="K86" s="626"/>
      <c r="L86" s="637"/>
      <c r="O86" s="950"/>
    </row>
    <row r="87" spans="1:15" s="629" customFormat="1" ht="12.75">
      <c r="A87" s="634" t="s">
        <v>902</v>
      </c>
      <c r="B87" s="727"/>
      <c r="C87" s="635"/>
      <c r="D87" s="636">
        <v>0</v>
      </c>
      <c r="E87" s="628"/>
      <c r="F87" s="637">
        <v>0</v>
      </c>
      <c r="G87" s="635"/>
      <c r="H87" s="627">
        <f>J87-F87</f>
        <v>0</v>
      </c>
      <c r="I87" s="628"/>
      <c r="J87" s="637">
        <v>0</v>
      </c>
      <c r="K87" s="635"/>
      <c r="L87" s="637">
        <v>3200000</v>
      </c>
      <c r="O87" s="950"/>
    </row>
    <row r="88" spans="1:15" s="629" customFormat="1" ht="12.75">
      <c r="A88" s="634" t="s">
        <v>1431</v>
      </c>
      <c r="B88" s="727"/>
      <c r="C88" s="635"/>
      <c r="D88" s="636"/>
      <c r="E88" s="628"/>
      <c r="F88" s="637"/>
      <c r="G88" s="635"/>
      <c r="H88" s="627"/>
      <c r="I88" s="628"/>
      <c r="J88" s="637"/>
      <c r="K88" s="635"/>
      <c r="L88" s="637"/>
      <c r="O88" s="950"/>
    </row>
    <row r="89" spans="1:15" s="629" customFormat="1" ht="12.75">
      <c r="A89" s="634" t="s">
        <v>1432</v>
      </c>
      <c r="B89" s="727"/>
      <c r="C89" s="635"/>
      <c r="D89" s="636">
        <v>0</v>
      </c>
      <c r="E89" s="628"/>
      <c r="F89" s="637">
        <v>0</v>
      </c>
      <c r="G89" s="635"/>
      <c r="H89" s="627">
        <f>J89-F89</f>
        <v>0</v>
      </c>
      <c r="I89" s="628"/>
      <c r="J89" s="637">
        <v>0</v>
      </c>
      <c r="K89" s="635"/>
      <c r="L89" s="637">
        <v>5000000</v>
      </c>
      <c r="O89" s="950"/>
    </row>
    <row r="90" spans="1:15" s="629" customFormat="1" ht="12.75">
      <c r="A90" s="634" t="s">
        <v>1275</v>
      </c>
      <c r="B90" s="727"/>
      <c r="C90" s="635"/>
      <c r="D90" s="636"/>
      <c r="E90" s="628"/>
      <c r="F90" s="637"/>
      <c r="G90" s="635"/>
      <c r="H90" s="627"/>
      <c r="I90" s="628"/>
      <c r="J90" s="637"/>
      <c r="K90" s="635"/>
      <c r="L90" s="637"/>
      <c r="O90" s="950"/>
    </row>
    <row r="91" spans="1:15" s="629" customFormat="1" ht="12.75">
      <c r="A91" s="634" t="s">
        <v>1276</v>
      </c>
      <c r="B91" s="727"/>
      <c r="C91" s="635"/>
      <c r="D91" s="636">
        <v>0</v>
      </c>
      <c r="E91" s="628"/>
      <c r="F91" s="637">
        <v>0</v>
      </c>
      <c r="G91" s="635"/>
      <c r="H91" s="627">
        <f>J91-F91</f>
        <v>5200000</v>
      </c>
      <c r="I91" s="628"/>
      <c r="J91" s="637">
        <v>5200000</v>
      </c>
      <c r="K91" s="635"/>
      <c r="L91" s="637">
        <v>0</v>
      </c>
      <c r="O91" s="950"/>
    </row>
    <row r="92" spans="1:15" s="629" customFormat="1" ht="12.75">
      <c r="A92" s="634" t="s">
        <v>1277</v>
      </c>
      <c r="B92" s="727"/>
      <c r="C92" s="635"/>
      <c r="D92" s="636"/>
      <c r="E92" s="628"/>
      <c r="F92" s="637"/>
      <c r="G92" s="635"/>
      <c r="H92" s="627"/>
      <c r="I92" s="628"/>
      <c r="J92" s="637"/>
      <c r="K92" s="635"/>
      <c r="L92" s="637"/>
      <c r="O92" s="950"/>
    </row>
    <row r="93" spans="1:15" s="629" customFormat="1" ht="12.75">
      <c r="A93" s="634" t="s">
        <v>1278</v>
      </c>
      <c r="B93" s="727"/>
      <c r="C93" s="635"/>
      <c r="D93" s="636">
        <v>0</v>
      </c>
      <c r="E93" s="628"/>
      <c r="F93" s="637">
        <v>0</v>
      </c>
      <c r="G93" s="635"/>
      <c r="H93" s="627">
        <f>J93-F93</f>
        <v>3880000</v>
      </c>
      <c r="I93" s="628"/>
      <c r="J93" s="637">
        <v>3880000</v>
      </c>
      <c r="K93" s="635"/>
      <c r="L93" s="637">
        <v>0</v>
      </c>
      <c r="O93" s="950"/>
    </row>
    <row r="94" spans="1:15" s="629" customFormat="1" ht="12.75">
      <c r="A94" s="634" t="s">
        <v>903</v>
      </c>
      <c r="B94" s="727"/>
      <c r="C94" s="635"/>
      <c r="D94" s="636"/>
      <c r="E94" s="628"/>
      <c r="F94" s="637"/>
      <c r="G94" s="635"/>
      <c r="H94" s="627"/>
      <c r="I94" s="628"/>
      <c r="J94" s="637"/>
      <c r="K94" s="635"/>
      <c r="L94" s="637"/>
      <c r="O94" s="950"/>
    </row>
    <row r="95" spans="1:15" s="629" customFormat="1" ht="12.75">
      <c r="A95" s="634" t="s">
        <v>904</v>
      </c>
      <c r="B95" s="727"/>
      <c r="C95" s="635"/>
      <c r="E95" s="628"/>
      <c r="F95" s="638"/>
      <c r="G95" s="635"/>
      <c r="H95" s="627"/>
      <c r="I95" s="628"/>
      <c r="J95" s="637"/>
      <c r="K95" s="635"/>
      <c r="L95" s="637"/>
      <c r="O95" s="950"/>
    </row>
    <row r="96" spans="1:15" s="629" customFormat="1" ht="12.75">
      <c r="A96" s="634" t="s">
        <v>905</v>
      </c>
      <c r="B96" s="727"/>
      <c r="C96" s="635"/>
      <c r="D96" s="636"/>
      <c r="E96" s="643"/>
      <c r="F96" s="637"/>
      <c r="G96" s="644"/>
      <c r="H96" s="637"/>
      <c r="I96" s="628"/>
      <c r="J96" s="637"/>
      <c r="K96" s="635"/>
      <c r="L96" s="637"/>
      <c r="O96" s="950"/>
    </row>
    <row r="97" spans="1:15" s="629" customFormat="1" ht="12.75">
      <c r="A97" s="634" t="s">
        <v>906</v>
      </c>
      <c r="B97" s="727" t="s">
        <v>1404</v>
      </c>
      <c r="C97" s="635"/>
      <c r="D97" s="636">
        <v>100000</v>
      </c>
      <c r="E97" s="643"/>
      <c r="F97" s="637">
        <v>50000</v>
      </c>
      <c r="G97" s="644"/>
      <c r="H97" s="627">
        <f t="shared" ref="H97:H99" si="11">J97-F97</f>
        <v>50000</v>
      </c>
      <c r="I97" s="628"/>
      <c r="J97" s="637">
        <v>100000</v>
      </c>
      <c r="K97" s="635"/>
      <c r="L97" s="637">
        <v>100000</v>
      </c>
      <c r="O97" s="950"/>
    </row>
    <row r="98" spans="1:15" s="629" customFormat="1" ht="12.75">
      <c r="A98" s="634" t="s">
        <v>907</v>
      </c>
      <c r="B98" s="727" t="s">
        <v>1404</v>
      </c>
      <c r="C98" s="635"/>
      <c r="D98" s="636">
        <v>250000</v>
      </c>
      <c r="E98" s="643"/>
      <c r="F98" s="637">
        <v>125000</v>
      </c>
      <c r="G98" s="644"/>
      <c r="H98" s="627">
        <f t="shared" si="11"/>
        <v>125000</v>
      </c>
      <c r="I98" s="628"/>
      <c r="J98" s="637">
        <v>250000</v>
      </c>
      <c r="K98" s="635"/>
      <c r="L98" s="637">
        <v>250000</v>
      </c>
      <c r="O98" s="950"/>
    </row>
    <row r="99" spans="1:15" s="629" customFormat="1" ht="12.75">
      <c r="A99" s="634" t="s">
        <v>908</v>
      </c>
      <c r="B99" s="727" t="s">
        <v>1404</v>
      </c>
      <c r="C99" s="635"/>
      <c r="D99" s="636">
        <v>250000</v>
      </c>
      <c r="E99" s="643"/>
      <c r="F99" s="637">
        <v>125000</v>
      </c>
      <c r="G99" s="644"/>
      <c r="H99" s="627">
        <f t="shared" si="11"/>
        <v>125000</v>
      </c>
      <c r="I99" s="628"/>
      <c r="J99" s="637">
        <v>250000</v>
      </c>
      <c r="K99" s="635"/>
      <c r="L99" s="637">
        <v>250000</v>
      </c>
      <c r="O99" s="950"/>
    </row>
    <row r="100" spans="1:15" s="629" customFormat="1" ht="12.75">
      <c r="A100" s="634" t="s">
        <v>909</v>
      </c>
      <c r="B100" s="727"/>
      <c r="C100" s="635"/>
      <c r="D100" s="636"/>
      <c r="E100" s="643"/>
      <c r="F100" s="637"/>
      <c r="G100" s="644"/>
      <c r="H100" s="637"/>
      <c r="I100" s="628"/>
      <c r="J100" s="637"/>
      <c r="K100" s="635"/>
      <c r="L100" s="637"/>
      <c r="O100" s="950"/>
    </row>
    <row r="101" spans="1:15" s="629" customFormat="1" ht="12.75">
      <c r="A101" s="634" t="s">
        <v>910</v>
      </c>
      <c r="B101" s="727"/>
      <c r="C101" s="635"/>
      <c r="D101" s="636"/>
      <c r="E101" s="643"/>
      <c r="F101" s="637"/>
      <c r="G101" s="644"/>
      <c r="H101" s="637"/>
      <c r="I101" s="628"/>
      <c r="J101" s="637"/>
      <c r="K101" s="635"/>
      <c r="L101" s="637"/>
      <c r="O101" s="950"/>
    </row>
    <row r="102" spans="1:15" s="629" customFormat="1" ht="12.75">
      <c r="A102" s="634" t="s">
        <v>911</v>
      </c>
      <c r="B102" s="727" t="s">
        <v>997</v>
      </c>
      <c r="C102" s="635"/>
      <c r="D102" s="636">
        <v>215000</v>
      </c>
      <c r="E102" s="643"/>
      <c r="F102" s="637">
        <v>57280</v>
      </c>
      <c r="G102" s="644"/>
      <c r="H102" s="627">
        <f t="shared" ref="H102:H129" si="12">J102-F102</f>
        <v>157720</v>
      </c>
      <c r="I102" s="628"/>
      <c r="J102" s="637">
        <v>215000</v>
      </c>
      <c r="K102" s="635"/>
      <c r="L102" s="637">
        <v>215000</v>
      </c>
      <c r="O102" s="950"/>
    </row>
    <row r="103" spans="1:15" s="629" customFormat="1" ht="12.75">
      <c r="A103" s="634" t="s">
        <v>912</v>
      </c>
      <c r="B103" s="727" t="s">
        <v>997</v>
      </c>
      <c r="C103" s="626"/>
      <c r="D103" s="639">
        <v>230000</v>
      </c>
      <c r="E103" s="643"/>
      <c r="F103" s="637">
        <v>0</v>
      </c>
      <c r="G103" s="645"/>
      <c r="H103" s="627">
        <f t="shared" si="12"/>
        <v>230000</v>
      </c>
      <c r="I103" s="628"/>
      <c r="J103" s="637">
        <v>230000</v>
      </c>
      <c r="K103" s="626"/>
      <c r="L103" s="637">
        <v>230000</v>
      </c>
      <c r="O103" s="950"/>
    </row>
    <row r="104" spans="1:15" s="629" customFormat="1" ht="12.75">
      <c r="A104" s="640" t="s">
        <v>913</v>
      </c>
      <c r="B104" s="728" t="s">
        <v>997</v>
      </c>
      <c r="C104" s="631"/>
      <c r="D104" s="641">
        <v>270000</v>
      </c>
      <c r="E104" s="733"/>
      <c r="F104" s="642">
        <v>0</v>
      </c>
      <c r="G104" s="646"/>
      <c r="H104" s="632">
        <f t="shared" si="12"/>
        <v>270000</v>
      </c>
      <c r="I104" s="633"/>
      <c r="J104" s="642">
        <v>270000</v>
      </c>
      <c r="K104" s="631"/>
      <c r="L104" s="642">
        <v>270000</v>
      </c>
      <c r="O104" s="950"/>
    </row>
    <row r="105" spans="1:15" s="629" customFormat="1" ht="12.75">
      <c r="A105" s="634" t="s">
        <v>914</v>
      </c>
      <c r="B105" s="727" t="s">
        <v>997</v>
      </c>
      <c r="C105" s="626"/>
      <c r="D105" s="639">
        <v>300000</v>
      </c>
      <c r="E105" s="643"/>
      <c r="F105" s="637">
        <v>0</v>
      </c>
      <c r="G105" s="645"/>
      <c r="H105" s="627">
        <f t="shared" si="12"/>
        <v>300000</v>
      </c>
      <c r="I105" s="628"/>
      <c r="J105" s="637">
        <v>300000</v>
      </c>
      <c r="K105" s="626"/>
      <c r="L105" s="637">
        <v>300000</v>
      </c>
      <c r="O105" s="950"/>
    </row>
    <row r="106" spans="1:15" s="629" customFormat="1" ht="12.75">
      <c r="A106" s="634" t="s">
        <v>915</v>
      </c>
      <c r="B106" s="727" t="s">
        <v>997</v>
      </c>
      <c r="C106" s="626"/>
      <c r="D106" s="639">
        <v>240000</v>
      </c>
      <c r="E106" s="643"/>
      <c r="F106" s="637">
        <v>0</v>
      </c>
      <c r="G106" s="645"/>
      <c r="H106" s="627">
        <f t="shared" si="12"/>
        <v>240000</v>
      </c>
      <c r="I106" s="628"/>
      <c r="J106" s="637">
        <v>240000</v>
      </c>
      <c r="K106" s="626"/>
      <c r="L106" s="637">
        <v>240000</v>
      </c>
      <c r="O106" s="950"/>
    </row>
    <row r="107" spans="1:15" s="629" customFormat="1" ht="12.75">
      <c r="A107" s="634" t="s">
        <v>1563</v>
      </c>
      <c r="B107" s="727"/>
      <c r="C107" s="626"/>
      <c r="D107" s="639"/>
      <c r="E107" s="643"/>
      <c r="F107" s="637"/>
      <c r="G107" s="645"/>
      <c r="H107" s="627"/>
      <c r="I107" s="628"/>
      <c r="J107" s="637"/>
      <c r="K107" s="626"/>
      <c r="L107" s="637"/>
      <c r="O107" s="950"/>
    </row>
    <row r="108" spans="1:15" s="629" customFormat="1" ht="12.75">
      <c r="A108" s="634" t="s">
        <v>1564</v>
      </c>
      <c r="B108" s="727" t="s">
        <v>997</v>
      </c>
      <c r="C108" s="626"/>
      <c r="D108" s="639">
        <v>200000</v>
      </c>
      <c r="E108" s="643"/>
      <c r="F108" s="637">
        <v>200000</v>
      </c>
      <c r="G108" s="645"/>
      <c r="H108" s="627">
        <f t="shared" ref="H108" si="13">J108-F108</f>
        <v>0</v>
      </c>
      <c r="I108" s="628"/>
      <c r="J108" s="627">
        <v>200000</v>
      </c>
      <c r="K108" s="626"/>
      <c r="L108" s="637">
        <v>200000</v>
      </c>
      <c r="O108" s="950"/>
    </row>
    <row r="109" spans="1:15" s="629" customFormat="1" ht="12.75">
      <c r="A109" s="634" t="s">
        <v>1565</v>
      </c>
      <c r="B109" s="727" t="s">
        <v>997</v>
      </c>
      <c r="C109" s="626"/>
      <c r="D109" s="639">
        <v>0</v>
      </c>
      <c r="E109" s="643"/>
      <c r="F109" s="637">
        <v>0</v>
      </c>
      <c r="G109" s="645"/>
      <c r="H109" s="627">
        <f t="shared" si="12"/>
        <v>200000</v>
      </c>
      <c r="I109" s="628"/>
      <c r="J109" s="627">
        <v>200000</v>
      </c>
      <c r="K109" s="626"/>
      <c r="L109" s="637">
        <v>0</v>
      </c>
      <c r="O109" s="950"/>
    </row>
    <row r="110" spans="1:15" s="629" customFormat="1" ht="12.75">
      <c r="A110" s="634" t="s">
        <v>1566</v>
      </c>
      <c r="B110" s="727" t="s">
        <v>997</v>
      </c>
      <c r="C110" s="626"/>
      <c r="D110" s="639">
        <v>0</v>
      </c>
      <c r="E110" s="643"/>
      <c r="F110" s="637">
        <v>0</v>
      </c>
      <c r="G110" s="645"/>
      <c r="H110" s="627">
        <f t="shared" si="12"/>
        <v>200000</v>
      </c>
      <c r="I110" s="628"/>
      <c r="J110" s="627">
        <v>200000</v>
      </c>
      <c r="K110" s="626"/>
      <c r="L110" s="637">
        <v>0</v>
      </c>
      <c r="O110" s="950"/>
    </row>
    <row r="111" spans="1:15" s="629" customFormat="1" ht="12.75">
      <c r="A111" s="634" t="s">
        <v>1567</v>
      </c>
      <c r="B111" s="727" t="s">
        <v>997</v>
      </c>
      <c r="C111" s="626"/>
      <c r="D111" s="639">
        <v>0</v>
      </c>
      <c r="E111" s="643"/>
      <c r="F111" s="637">
        <v>0</v>
      </c>
      <c r="G111" s="645"/>
      <c r="H111" s="627">
        <f t="shared" ref="H111:H112" si="14">J111-F111</f>
        <v>200000</v>
      </c>
      <c r="I111" s="628"/>
      <c r="J111" s="637">
        <v>200000</v>
      </c>
      <c r="K111" s="626"/>
      <c r="L111" s="637">
        <v>0</v>
      </c>
      <c r="O111" s="950"/>
    </row>
    <row r="112" spans="1:15" s="629" customFormat="1" ht="12.75">
      <c r="A112" s="634" t="s">
        <v>1568</v>
      </c>
      <c r="B112" s="727" t="s">
        <v>997</v>
      </c>
      <c r="C112" s="626"/>
      <c r="D112" s="639">
        <v>0</v>
      </c>
      <c r="E112" s="643"/>
      <c r="F112" s="637">
        <v>0</v>
      </c>
      <c r="G112" s="645"/>
      <c r="H112" s="627">
        <f t="shared" si="14"/>
        <v>200000</v>
      </c>
      <c r="I112" s="628"/>
      <c r="J112" s="637">
        <v>200000</v>
      </c>
      <c r="K112" s="626"/>
      <c r="L112" s="637">
        <v>0</v>
      </c>
      <c r="O112" s="950"/>
    </row>
    <row r="113" spans="1:15" s="629" customFormat="1" ht="12.75">
      <c r="A113" s="634" t="s">
        <v>1569</v>
      </c>
      <c r="B113" s="727" t="s">
        <v>997</v>
      </c>
      <c r="C113" s="626"/>
      <c r="D113" s="639">
        <v>0</v>
      </c>
      <c r="E113" s="643"/>
      <c r="F113" s="637">
        <v>0</v>
      </c>
      <c r="G113" s="645"/>
      <c r="H113" s="627">
        <f t="shared" si="12"/>
        <v>200000</v>
      </c>
      <c r="I113" s="628"/>
      <c r="J113" s="637">
        <v>200000</v>
      </c>
      <c r="K113" s="626"/>
      <c r="L113" s="637">
        <v>200000</v>
      </c>
      <c r="O113" s="950"/>
    </row>
    <row r="114" spans="1:15" s="629" customFormat="1" ht="12.75">
      <c r="A114" s="634" t="s">
        <v>1570</v>
      </c>
      <c r="B114" s="727" t="s">
        <v>997</v>
      </c>
      <c r="C114" s="626"/>
      <c r="D114" s="639">
        <v>0</v>
      </c>
      <c r="E114" s="643"/>
      <c r="F114" s="637">
        <v>0</v>
      </c>
      <c r="G114" s="645"/>
      <c r="H114" s="627">
        <f t="shared" si="12"/>
        <v>200000</v>
      </c>
      <c r="I114" s="628"/>
      <c r="J114" s="627">
        <v>200000</v>
      </c>
      <c r="K114" s="626"/>
      <c r="L114" s="637">
        <v>200000</v>
      </c>
      <c r="O114" s="950"/>
    </row>
    <row r="115" spans="1:15" s="629" customFormat="1" ht="12.75">
      <c r="A115" s="634" t="s">
        <v>1571</v>
      </c>
      <c r="B115" s="727" t="s">
        <v>997</v>
      </c>
      <c r="C115" s="626"/>
      <c r="D115" s="639">
        <v>0</v>
      </c>
      <c r="E115" s="643"/>
      <c r="F115" s="637">
        <v>0</v>
      </c>
      <c r="G115" s="645"/>
      <c r="H115" s="627">
        <f t="shared" ref="H115" si="15">J115-F115</f>
        <v>200000</v>
      </c>
      <c r="I115" s="628"/>
      <c r="J115" s="627">
        <v>200000</v>
      </c>
      <c r="K115" s="626"/>
      <c r="L115" s="637">
        <v>200000</v>
      </c>
      <c r="O115" s="950"/>
    </row>
    <row r="116" spans="1:15" s="629" customFormat="1" ht="12.75">
      <c r="A116" s="634" t="s">
        <v>1572</v>
      </c>
      <c r="B116" s="727" t="s">
        <v>997</v>
      </c>
      <c r="C116" s="626"/>
      <c r="D116" s="639">
        <v>0</v>
      </c>
      <c r="E116" s="643"/>
      <c r="F116" s="637">
        <v>0</v>
      </c>
      <c r="G116" s="645"/>
      <c r="H116" s="627">
        <f t="shared" si="12"/>
        <v>0</v>
      </c>
      <c r="I116" s="628"/>
      <c r="J116" s="627">
        <v>0</v>
      </c>
      <c r="K116" s="626"/>
      <c r="L116" s="637">
        <v>200000</v>
      </c>
      <c r="O116" s="950"/>
    </row>
    <row r="117" spans="1:15" s="629" customFormat="1" ht="12.75">
      <c r="A117" s="634" t="s">
        <v>1573</v>
      </c>
      <c r="B117" s="727" t="s">
        <v>997</v>
      </c>
      <c r="C117" s="626"/>
      <c r="D117" s="639">
        <v>0</v>
      </c>
      <c r="E117" s="643"/>
      <c r="F117" s="637">
        <v>0</v>
      </c>
      <c r="G117" s="645"/>
      <c r="H117" s="627">
        <f t="shared" si="12"/>
        <v>0</v>
      </c>
      <c r="I117" s="628"/>
      <c r="J117" s="627">
        <v>0</v>
      </c>
      <c r="K117" s="626"/>
      <c r="L117" s="637">
        <v>0</v>
      </c>
      <c r="O117" s="950"/>
    </row>
    <row r="118" spans="1:15" s="629" customFormat="1" ht="12.75">
      <c r="A118" s="634" t="s">
        <v>1574</v>
      </c>
      <c r="B118" s="727" t="s">
        <v>997</v>
      </c>
      <c r="C118" s="626"/>
      <c r="D118" s="639">
        <v>0</v>
      </c>
      <c r="E118" s="643"/>
      <c r="F118" s="637">
        <v>0</v>
      </c>
      <c r="G118" s="645"/>
      <c r="H118" s="627">
        <f t="shared" ref="H118" si="16">J118-F118</f>
        <v>200000</v>
      </c>
      <c r="I118" s="628"/>
      <c r="J118" s="627">
        <v>200000</v>
      </c>
      <c r="K118" s="626"/>
      <c r="L118" s="637">
        <v>200000</v>
      </c>
      <c r="O118" s="950"/>
    </row>
    <row r="119" spans="1:15" s="629" customFormat="1" ht="12.75">
      <c r="A119" s="634" t="s">
        <v>1575</v>
      </c>
      <c r="B119" s="727" t="s">
        <v>997</v>
      </c>
      <c r="C119" s="626"/>
      <c r="D119" s="639">
        <v>0</v>
      </c>
      <c r="E119" s="643"/>
      <c r="F119" s="637">
        <v>0</v>
      </c>
      <c r="G119" s="645"/>
      <c r="H119" s="627">
        <f t="shared" si="12"/>
        <v>100000</v>
      </c>
      <c r="I119" s="628"/>
      <c r="J119" s="627">
        <v>100000</v>
      </c>
      <c r="K119" s="626"/>
      <c r="L119" s="637">
        <v>200000</v>
      </c>
      <c r="O119" s="950"/>
    </row>
    <row r="120" spans="1:15" s="629" customFormat="1" ht="12.75">
      <c r="A120" s="634" t="s">
        <v>1576</v>
      </c>
      <c r="B120" s="727" t="s">
        <v>997</v>
      </c>
      <c r="C120" s="626"/>
      <c r="D120" s="639">
        <v>200000</v>
      </c>
      <c r="E120" s="643"/>
      <c r="F120" s="637">
        <v>0</v>
      </c>
      <c r="G120" s="645"/>
      <c r="H120" s="627">
        <f t="shared" si="12"/>
        <v>200000</v>
      </c>
      <c r="I120" s="628"/>
      <c r="J120" s="627">
        <v>200000</v>
      </c>
      <c r="K120" s="626"/>
      <c r="L120" s="637">
        <v>200000</v>
      </c>
      <c r="O120" s="950"/>
    </row>
    <row r="121" spans="1:15" s="629" customFormat="1" ht="12.75">
      <c r="A121" s="634" t="s">
        <v>1577</v>
      </c>
      <c r="B121" s="727" t="s">
        <v>997</v>
      </c>
      <c r="C121" s="626"/>
      <c r="D121" s="639">
        <v>200000</v>
      </c>
      <c r="E121" s="643"/>
      <c r="F121" s="637">
        <v>0</v>
      </c>
      <c r="G121" s="645"/>
      <c r="H121" s="627">
        <f t="shared" ref="H121" si="17">J121-F121</f>
        <v>200000</v>
      </c>
      <c r="I121" s="628"/>
      <c r="J121" s="627">
        <v>200000</v>
      </c>
      <c r="K121" s="626"/>
      <c r="L121" s="637">
        <v>200000</v>
      </c>
      <c r="O121" s="950"/>
    </row>
    <row r="122" spans="1:15" s="629" customFormat="1" ht="12.75">
      <c r="A122" s="634" t="s">
        <v>1578</v>
      </c>
      <c r="B122" s="727" t="s">
        <v>997</v>
      </c>
      <c r="C122" s="626"/>
      <c r="D122" s="639">
        <v>0</v>
      </c>
      <c r="E122" s="643"/>
      <c r="F122" s="637">
        <v>0</v>
      </c>
      <c r="G122" s="645"/>
      <c r="H122" s="627">
        <f t="shared" si="12"/>
        <v>200000</v>
      </c>
      <c r="I122" s="628"/>
      <c r="J122" s="627">
        <v>200000</v>
      </c>
      <c r="K122" s="626"/>
      <c r="L122" s="637">
        <v>200000</v>
      </c>
      <c r="O122" s="950"/>
    </row>
    <row r="123" spans="1:15" s="629" customFormat="1" ht="12.75">
      <c r="A123" s="634" t="s">
        <v>1579</v>
      </c>
      <c r="B123" s="727" t="s">
        <v>997</v>
      </c>
      <c r="C123" s="626"/>
      <c r="D123" s="639">
        <v>200000</v>
      </c>
      <c r="E123" s="643"/>
      <c r="F123" s="637">
        <v>0</v>
      </c>
      <c r="G123" s="645"/>
      <c r="H123" s="627">
        <f t="shared" si="12"/>
        <v>0</v>
      </c>
      <c r="I123" s="628"/>
      <c r="J123" s="627">
        <v>0</v>
      </c>
      <c r="K123" s="626"/>
      <c r="L123" s="627">
        <v>0</v>
      </c>
      <c r="O123" s="950"/>
    </row>
    <row r="124" spans="1:15" s="629" customFormat="1" ht="12.75">
      <c r="A124" s="634" t="s">
        <v>1580</v>
      </c>
      <c r="B124" s="727"/>
      <c r="C124" s="626"/>
      <c r="D124" s="639"/>
      <c r="E124" s="643"/>
      <c r="F124" s="637"/>
      <c r="G124" s="645"/>
      <c r="H124" s="627"/>
      <c r="I124" s="628"/>
      <c r="J124" s="637"/>
      <c r="K124" s="626"/>
      <c r="L124" s="637"/>
      <c r="O124" s="950"/>
    </row>
    <row r="125" spans="1:15" s="629" customFormat="1" ht="12.75">
      <c r="A125" s="634" t="s">
        <v>1581</v>
      </c>
      <c r="B125" s="727"/>
      <c r="C125" s="626"/>
      <c r="D125" s="639">
        <v>90000</v>
      </c>
      <c r="E125" s="643"/>
      <c r="F125" s="637">
        <v>0</v>
      </c>
      <c r="G125" s="645"/>
      <c r="H125" s="627">
        <f t="shared" ref="H125" si="18">J125-F125</f>
        <v>0</v>
      </c>
      <c r="I125" s="628"/>
      <c r="J125" s="627">
        <v>0</v>
      </c>
      <c r="K125" s="626"/>
      <c r="L125" s="627">
        <v>0</v>
      </c>
      <c r="O125" s="950"/>
    </row>
    <row r="126" spans="1:15" s="629" customFormat="1" ht="18" customHeight="1">
      <c r="A126" s="634" t="s">
        <v>916</v>
      </c>
      <c r="B126" s="1435" t="s">
        <v>183</v>
      </c>
      <c r="C126" s="626"/>
      <c r="D126" s="639"/>
      <c r="E126" s="643"/>
      <c r="F126" s="637"/>
      <c r="G126" s="645"/>
      <c r="H126" s="627">
        <f t="shared" si="12"/>
        <v>0</v>
      </c>
      <c r="I126" s="628"/>
      <c r="J126" s="637"/>
      <c r="K126" s="626"/>
      <c r="L126" s="637"/>
      <c r="O126" s="950"/>
    </row>
    <row r="127" spans="1:15" s="629" customFormat="1" ht="12.75">
      <c r="A127" s="634" t="s">
        <v>917</v>
      </c>
      <c r="B127" s="1435"/>
      <c r="C127" s="626"/>
      <c r="D127" s="639">
        <v>10500000</v>
      </c>
      <c r="E127" s="628"/>
      <c r="F127" s="637">
        <v>5500000</v>
      </c>
      <c r="G127" s="645"/>
      <c r="H127" s="627">
        <f t="shared" si="12"/>
        <v>5500000</v>
      </c>
      <c r="I127" s="628"/>
      <c r="J127" s="627">
        <v>11000000</v>
      </c>
      <c r="K127" s="626"/>
      <c r="L127" s="637">
        <v>11000000</v>
      </c>
      <c r="O127" s="950"/>
    </row>
    <row r="128" spans="1:15" s="629" customFormat="1" ht="12.75">
      <c r="A128" s="634" t="s">
        <v>918</v>
      </c>
      <c r="B128" s="727"/>
      <c r="C128" s="626"/>
      <c r="D128" s="639"/>
      <c r="E128" s="628"/>
      <c r="F128" s="637"/>
      <c r="G128" s="645"/>
      <c r="H128" s="627"/>
      <c r="I128" s="628"/>
      <c r="J128" s="637"/>
      <c r="K128" s="626"/>
      <c r="L128" s="637"/>
      <c r="O128" s="950"/>
    </row>
    <row r="129" spans="1:15" s="629" customFormat="1" ht="12.75">
      <c r="A129" s="634" t="s">
        <v>919</v>
      </c>
      <c r="B129" s="727" t="s">
        <v>997</v>
      </c>
      <c r="C129" s="626"/>
      <c r="D129" s="639">
        <v>4687679.3899999997</v>
      </c>
      <c r="E129" s="628"/>
      <c r="F129" s="637">
        <v>1251177.46</v>
      </c>
      <c r="G129" s="645"/>
      <c r="H129" s="627">
        <f t="shared" si="12"/>
        <v>1548822.54</v>
      </c>
      <c r="I129" s="628"/>
      <c r="J129" s="627">
        <v>2800000</v>
      </c>
      <c r="K129" s="626"/>
      <c r="L129" s="637">
        <v>10100000</v>
      </c>
      <c r="O129" s="950"/>
    </row>
    <row r="130" spans="1:15" s="629" customFormat="1" ht="13.5" customHeight="1">
      <c r="A130" s="634" t="s">
        <v>985</v>
      </c>
      <c r="B130" s="1435"/>
      <c r="C130" s="626"/>
      <c r="D130" s="639"/>
      <c r="E130" s="628"/>
      <c r="F130" s="637"/>
      <c r="G130" s="645"/>
      <c r="H130" s="627"/>
      <c r="I130" s="628"/>
      <c r="J130" s="637"/>
      <c r="K130" s="626"/>
      <c r="L130" s="637"/>
      <c r="O130" s="950"/>
    </row>
    <row r="131" spans="1:15" s="629" customFormat="1" ht="12.75">
      <c r="A131" s="634" t="s">
        <v>986</v>
      </c>
      <c r="B131" s="1435"/>
      <c r="C131" s="626"/>
      <c r="D131" s="639"/>
      <c r="E131" s="628"/>
      <c r="F131" s="637"/>
      <c r="G131" s="645"/>
      <c r="H131" s="627"/>
      <c r="I131" s="628"/>
      <c r="J131" s="637"/>
      <c r="K131" s="626"/>
      <c r="L131" s="637"/>
      <c r="O131" s="950"/>
    </row>
    <row r="132" spans="1:15" s="629" customFormat="1" ht="12.75">
      <c r="A132" s="634" t="s">
        <v>1433</v>
      </c>
      <c r="B132" s="727" t="s">
        <v>1434</v>
      </c>
      <c r="C132" s="626"/>
      <c r="D132" s="639">
        <v>0</v>
      </c>
      <c r="E132" s="628"/>
      <c r="F132" s="637">
        <v>0</v>
      </c>
      <c r="G132" s="645"/>
      <c r="H132" s="627">
        <f t="shared" ref="H132" si="19">J132-F132</f>
        <v>0</v>
      </c>
      <c r="I132" s="628"/>
      <c r="J132" s="627">
        <v>0</v>
      </c>
      <c r="K132" s="626"/>
      <c r="L132" s="627">
        <v>6000000</v>
      </c>
      <c r="O132" s="950"/>
    </row>
    <row r="133" spans="1:15" s="629" customFormat="1" ht="13.5" customHeight="1">
      <c r="A133" s="634" t="s">
        <v>1279</v>
      </c>
      <c r="B133" s="1435"/>
      <c r="C133" s="626"/>
      <c r="D133" s="639"/>
      <c r="E133" s="628"/>
      <c r="F133" s="637"/>
      <c r="G133" s="645"/>
      <c r="H133" s="627"/>
      <c r="I133" s="628"/>
      <c r="J133" s="637"/>
      <c r="K133" s="626"/>
      <c r="L133" s="637"/>
      <c r="O133" s="950"/>
    </row>
    <row r="134" spans="1:15" s="629" customFormat="1" ht="12.75">
      <c r="A134" s="634" t="s">
        <v>1280</v>
      </c>
      <c r="B134" s="1435"/>
      <c r="C134" s="626"/>
      <c r="D134" s="639"/>
      <c r="E134" s="628"/>
      <c r="F134" s="637"/>
      <c r="G134" s="645"/>
      <c r="H134" s="627"/>
      <c r="I134" s="628"/>
      <c r="J134" s="637"/>
      <c r="K134" s="626"/>
      <c r="L134" s="637"/>
      <c r="O134" s="950"/>
    </row>
    <row r="135" spans="1:15" s="629" customFormat="1" ht="12.75">
      <c r="A135" s="634" t="s">
        <v>1281</v>
      </c>
      <c r="B135" s="727"/>
      <c r="C135" s="626"/>
      <c r="D135" s="639">
        <v>0</v>
      </c>
      <c r="E135" s="628"/>
      <c r="F135" s="637">
        <v>0</v>
      </c>
      <c r="G135" s="645"/>
      <c r="H135" s="627">
        <f t="shared" ref="H135" si="20">J135-F135</f>
        <v>4000000</v>
      </c>
      <c r="I135" s="628"/>
      <c r="J135" s="627">
        <v>4000000</v>
      </c>
      <c r="K135" s="626"/>
      <c r="L135" s="637">
        <v>0</v>
      </c>
      <c r="O135" s="950"/>
    </row>
    <row r="136" spans="1:15" s="629" customFormat="1" ht="13.5" customHeight="1">
      <c r="A136" s="634" t="s">
        <v>1282</v>
      </c>
      <c r="B136" s="1435"/>
      <c r="C136" s="626"/>
      <c r="D136" s="639"/>
      <c r="E136" s="628"/>
      <c r="F136" s="637"/>
      <c r="G136" s="645"/>
      <c r="H136" s="627"/>
      <c r="I136" s="628"/>
      <c r="J136" s="637"/>
      <c r="K136" s="626"/>
      <c r="L136" s="637"/>
      <c r="O136" s="950"/>
    </row>
    <row r="137" spans="1:15" s="629" customFormat="1" ht="12.75">
      <c r="A137" s="634" t="s">
        <v>1283</v>
      </c>
      <c r="B137" s="1435"/>
      <c r="C137" s="626"/>
      <c r="D137" s="639">
        <v>0</v>
      </c>
      <c r="E137" s="628"/>
      <c r="F137" s="637">
        <v>12980000</v>
      </c>
      <c r="G137" s="645"/>
      <c r="H137" s="627">
        <f t="shared" ref="H137" si="21">J137-F137</f>
        <v>20000</v>
      </c>
      <c r="I137" s="628"/>
      <c r="J137" s="627">
        <v>13000000</v>
      </c>
      <c r="K137" s="626"/>
      <c r="L137" s="637">
        <v>0</v>
      </c>
      <c r="O137" s="950"/>
    </row>
    <row r="138" spans="1:15" s="629" customFormat="1" ht="12.75">
      <c r="A138" s="634" t="s">
        <v>1284</v>
      </c>
      <c r="B138" s="727"/>
      <c r="C138" s="626"/>
      <c r="D138" s="639">
        <v>0</v>
      </c>
      <c r="E138" s="628"/>
      <c r="F138" s="637">
        <v>7988000</v>
      </c>
      <c r="G138" s="645"/>
      <c r="H138" s="627">
        <f t="shared" ref="H138:H139" si="22">J138-F138</f>
        <v>12000</v>
      </c>
      <c r="I138" s="628"/>
      <c r="J138" s="627">
        <v>8000000</v>
      </c>
      <c r="K138" s="626"/>
      <c r="L138" s="637">
        <v>0</v>
      </c>
      <c r="O138" s="950"/>
    </row>
    <row r="139" spans="1:15" s="629" customFormat="1" ht="13.5" customHeight="1">
      <c r="A139" s="634" t="s">
        <v>1473</v>
      </c>
      <c r="B139" s="886"/>
      <c r="C139" s="626"/>
      <c r="D139" s="639">
        <v>0</v>
      </c>
      <c r="E139" s="628"/>
      <c r="F139" s="637">
        <v>3019169</v>
      </c>
      <c r="G139" s="645"/>
      <c r="H139" s="627">
        <f t="shared" si="22"/>
        <v>0</v>
      </c>
      <c r="I139" s="628"/>
      <c r="J139" s="627">
        <v>3019169</v>
      </c>
      <c r="K139" s="626"/>
      <c r="L139" s="637">
        <v>0</v>
      </c>
      <c r="O139" s="950"/>
    </row>
    <row r="140" spans="1:15" s="629" customFormat="1" ht="13.5" customHeight="1">
      <c r="A140" s="634" t="s">
        <v>1474</v>
      </c>
      <c r="B140" s="839"/>
      <c r="C140" s="626"/>
      <c r="D140" s="639">
        <v>1250000</v>
      </c>
      <c r="E140" s="628"/>
      <c r="F140" s="637">
        <v>0</v>
      </c>
      <c r="G140" s="645"/>
      <c r="H140" s="627">
        <f t="shared" ref="H140" si="23">J140-F140</f>
        <v>0</v>
      </c>
      <c r="I140" s="628"/>
      <c r="J140" s="627">
        <v>0</v>
      </c>
      <c r="K140" s="626"/>
      <c r="L140" s="627">
        <v>0</v>
      </c>
      <c r="O140" s="950"/>
    </row>
    <row r="141" spans="1:15" s="613" customFormat="1" ht="23.25" customHeight="1">
      <c r="A141" s="621" t="s">
        <v>920</v>
      </c>
      <c r="B141" s="726"/>
      <c r="C141" s="622"/>
      <c r="D141" s="623"/>
      <c r="E141" s="624"/>
      <c r="F141" s="623"/>
      <c r="G141" s="624"/>
      <c r="H141" s="623"/>
      <c r="I141" s="625"/>
      <c r="J141" s="623"/>
      <c r="K141" s="624"/>
      <c r="L141" s="623"/>
      <c r="O141" s="947"/>
    </row>
    <row r="142" spans="1:15" s="629" customFormat="1" ht="16.5" customHeight="1">
      <c r="A142" s="647" t="s">
        <v>921</v>
      </c>
      <c r="B142" s="1436" t="s">
        <v>998</v>
      </c>
      <c r="C142" s="626"/>
      <c r="D142" s="627">
        <v>266197.95</v>
      </c>
      <c r="E142" s="628"/>
      <c r="F142" s="627">
        <v>0</v>
      </c>
      <c r="G142" s="628"/>
      <c r="H142" s="627">
        <f>J142-F142</f>
        <v>0</v>
      </c>
      <c r="I142" s="628"/>
      <c r="J142" s="627">
        <v>0</v>
      </c>
      <c r="K142" s="628"/>
      <c r="L142" s="627">
        <v>0</v>
      </c>
      <c r="O142" s="950"/>
    </row>
    <row r="143" spans="1:15" s="629" customFormat="1" ht="11.25" customHeight="1">
      <c r="A143" s="647" t="s">
        <v>1446</v>
      </c>
      <c r="B143" s="1436"/>
      <c r="C143" s="626"/>
      <c r="D143" s="627"/>
      <c r="E143" s="628"/>
      <c r="F143" s="627"/>
      <c r="G143" s="628"/>
      <c r="H143" s="627"/>
      <c r="I143" s="628"/>
      <c r="J143" s="627"/>
      <c r="K143" s="628"/>
      <c r="L143" s="627"/>
      <c r="O143" s="950"/>
    </row>
    <row r="144" spans="1:15" s="629" customFormat="1" ht="11.25" customHeight="1">
      <c r="A144" s="647" t="s">
        <v>1285</v>
      </c>
      <c r="B144" s="1436"/>
      <c r="C144" s="626"/>
      <c r="D144" s="627">
        <v>0</v>
      </c>
      <c r="E144" s="628"/>
      <c r="F144" s="627">
        <v>0</v>
      </c>
      <c r="G144" s="628"/>
      <c r="H144" s="627">
        <f>J144-F144</f>
        <v>1000000</v>
      </c>
      <c r="I144" s="628"/>
      <c r="J144" s="627">
        <v>1000000</v>
      </c>
      <c r="K144" s="628"/>
      <c r="L144" s="637">
        <v>0</v>
      </c>
      <c r="O144" s="950"/>
    </row>
    <row r="145" spans="1:15" s="629" customFormat="1" ht="11.25" customHeight="1">
      <c r="A145" s="647" t="s">
        <v>1447</v>
      </c>
      <c r="B145" s="840"/>
      <c r="C145" s="626"/>
      <c r="D145" s="627">
        <v>0</v>
      </c>
      <c r="E145" s="628"/>
      <c r="F145" s="627">
        <v>0</v>
      </c>
      <c r="G145" s="628"/>
      <c r="H145" s="627">
        <f>J145-F145</f>
        <v>200000</v>
      </c>
      <c r="I145" s="628"/>
      <c r="J145" s="627">
        <v>200000</v>
      </c>
      <c r="K145" s="628"/>
      <c r="L145" s="637">
        <v>0</v>
      </c>
      <c r="O145" s="950"/>
    </row>
    <row r="146" spans="1:15" s="629" customFormat="1" ht="15.75" customHeight="1">
      <c r="A146" s="648" t="s">
        <v>922</v>
      </c>
      <c r="B146" s="1436" t="s">
        <v>999</v>
      </c>
      <c r="C146" s="626"/>
      <c r="D146" s="627"/>
      <c r="E146" s="628"/>
      <c r="F146" s="627"/>
      <c r="G146" s="628"/>
      <c r="H146" s="627"/>
      <c r="I146" s="628"/>
      <c r="J146" s="627"/>
      <c r="K146" s="628"/>
      <c r="L146" s="627"/>
      <c r="O146" s="950"/>
    </row>
    <row r="147" spans="1:15" s="629" customFormat="1" ht="12.75">
      <c r="A147" s="648" t="s">
        <v>923</v>
      </c>
      <c r="B147" s="1436"/>
      <c r="C147" s="626"/>
      <c r="D147" s="627"/>
      <c r="E147" s="628"/>
      <c r="F147" s="627"/>
      <c r="G147" s="628"/>
      <c r="H147" s="627"/>
      <c r="I147" s="628"/>
      <c r="J147" s="627"/>
      <c r="K147" s="628"/>
      <c r="L147" s="627"/>
      <c r="O147" s="950"/>
    </row>
    <row r="148" spans="1:15" s="629" customFormat="1" ht="12.75">
      <c r="A148" s="648" t="s">
        <v>1448</v>
      </c>
      <c r="B148" s="1436"/>
      <c r="C148" s="626"/>
      <c r="D148" s="627">
        <v>519330</v>
      </c>
      <c r="E148" s="628"/>
      <c r="F148" s="627">
        <v>0</v>
      </c>
      <c r="G148" s="628"/>
      <c r="H148" s="627">
        <f>J148-F148</f>
        <v>0</v>
      </c>
      <c r="I148" s="628"/>
      <c r="J148" s="627">
        <v>0</v>
      </c>
      <c r="K148" s="628"/>
      <c r="L148" s="627">
        <v>0</v>
      </c>
      <c r="O148" s="950"/>
    </row>
    <row r="149" spans="1:15" s="629" customFormat="1" ht="12.75">
      <c r="A149" s="648" t="s">
        <v>1449</v>
      </c>
      <c r="B149" s="736" t="s">
        <v>742</v>
      </c>
      <c r="C149" s="626"/>
      <c r="D149" s="627">
        <v>623444.85</v>
      </c>
      <c r="E149" s="628"/>
      <c r="F149" s="627">
        <v>0</v>
      </c>
      <c r="G149" s="628"/>
      <c r="H149" s="627">
        <f>J149-F149</f>
        <v>0</v>
      </c>
      <c r="I149" s="628"/>
      <c r="J149" s="627">
        <v>0</v>
      </c>
      <c r="K149" s="628"/>
      <c r="L149" s="627">
        <v>0</v>
      </c>
      <c r="O149" s="950"/>
    </row>
    <row r="150" spans="1:15" s="629" customFormat="1" ht="12.75">
      <c r="A150" s="648" t="s">
        <v>1450</v>
      </c>
      <c r="B150" s="887" t="s">
        <v>320</v>
      </c>
      <c r="C150" s="626"/>
      <c r="D150" s="627">
        <v>1410000</v>
      </c>
      <c r="E150" s="628"/>
      <c r="F150" s="627">
        <v>0</v>
      </c>
      <c r="G150" s="628"/>
      <c r="H150" s="627">
        <f>J150-F150</f>
        <v>0</v>
      </c>
      <c r="I150" s="628"/>
      <c r="J150" s="627">
        <v>0</v>
      </c>
      <c r="K150" s="628"/>
      <c r="L150" s="627">
        <v>0</v>
      </c>
      <c r="O150" s="950"/>
    </row>
    <row r="151" spans="1:15" s="629" customFormat="1" ht="12.75">
      <c r="A151" s="648" t="s">
        <v>1451</v>
      </c>
      <c r="B151" s="887"/>
      <c r="C151" s="626"/>
      <c r="D151" s="627">
        <v>915961</v>
      </c>
      <c r="E151" s="628"/>
      <c r="F151" s="627">
        <v>0</v>
      </c>
      <c r="G151" s="628"/>
      <c r="H151" s="627">
        <f>J151-F151</f>
        <v>0</v>
      </c>
      <c r="I151" s="628"/>
      <c r="J151" s="627">
        <v>0</v>
      </c>
      <c r="K151" s="628"/>
      <c r="L151" s="627">
        <v>0</v>
      </c>
      <c r="O151" s="950"/>
    </row>
    <row r="152" spans="1:15" s="629" customFormat="1" ht="15.75" customHeight="1">
      <c r="A152" s="648" t="s">
        <v>1452</v>
      </c>
      <c r="B152" s="1436" t="s">
        <v>181</v>
      </c>
      <c r="C152" s="626"/>
      <c r="D152" s="627"/>
      <c r="E152" s="628"/>
      <c r="F152" s="627"/>
      <c r="G152" s="628"/>
      <c r="H152" s="627"/>
      <c r="I152" s="628"/>
      <c r="J152" s="627"/>
      <c r="K152" s="628"/>
      <c r="L152" s="627"/>
      <c r="O152" s="950"/>
    </row>
    <row r="153" spans="1:15" s="629" customFormat="1" ht="12.75">
      <c r="A153" s="648" t="s">
        <v>924</v>
      </c>
      <c r="B153" s="1436"/>
      <c r="C153" s="626"/>
      <c r="D153" s="627"/>
      <c r="E153" s="628"/>
      <c r="F153" s="627"/>
      <c r="G153" s="628"/>
      <c r="H153" s="627"/>
      <c r="I153" s="628"/>
      <c r="J153" s="627"/>
      <c r="K153" s="628"/>
      <c r="L153" s="627"/>
      <c r="O153" s="950"/>
    </row>
    <row r="154" spans="1:15" s="629" customFormat="1" ht="12.75">
      <c r="A154" s="648" t="s">
        <v>1453</v>
      </c>
      <c r="B154" s="1436"/>
      <c r="C154" s="626"/>
      <c r="D154" s="627">
        <v>295000</v>
      </c>
      <c r="E154" s="628"/>
      <c r="F154" s="627">
        <v>0</v>
      </c>
      <c r="G154" s="628"/>
      <c r="H154" s="627">
        <f>J154-F154</f>
        <v>0</v>
      </c>
      <c r="I154" s="628"/>
      <c r="J154" s="627">
        <v>0</v>
      </c>
      <c r="K154" s="628"/>
      <c r="L154" s="627">
        <v>0</v>
      </c>
      <c r="O154" s="950"/>
    </row>
    <row r="155" spans="1:15" s="629" customFormat="1" ht="22.5" customHeight="1">
      <c r="A155" s="910" t="s">
        <v>1454</v>
      </c>
      <c r="B155" s="1437"/>
      <c r="C155" s="631"/>
      <c r="D155" s="632">
        <v>342801.35</v>
      </c>
      <c r="E155" s="633"/>
      <c r="F155" s="632">
        <v>0</v>
      </c>
      <c r="G155" s="633"/>
      <c r="H155" s="632">
        <f>J155-F155</f>
        <v>0</v>
      </c>
      <c r="I155" s="633"/>
      <c r="J155" s="632">
        <v>0</v>
      </c>
      <c r="K155" s="633"/>
      <c r="L155" s="632">
        <v>0</v>
      </c>
      <c r="O155" s="950"/>
    </row>
    <row r="156" spans="1:15" s="629" customFormat="1" ht="18" customHeight="1">
      <c r="A156" s="648" t="s">
        <v>1455</v>
      </c>
      <c r="B156" s="903"/>
      <c r="C156" s="626"/>
      <c r="D156" s="627">
        <v>550000</v>
      </c>
      <c r="E156" s="628"/>
      <c r="F156" s="627"/>
      <c r="G156" s="628"/>
      <c r="H156" s="627"/>
      <c r="I156" s="628"/>
      <c r="J156" s="627"/>
      <c r="K156" s="628"/>
      <c r="L156" s="627"/>
      <c r="O156" s="950"/>
    </row>
    <row r="157" spans="1:15" s="629" customFormat="1" ht="14.25" customHeight="1">
      <c r="A157" s="648" t="s">
        <v>1456</v>
      </c>
      <c r="B157" s="741"/>
      <c r="C157" s="626"/>
      <c r="D157" s="627"/>
      <c r="E157" s="628"/>
      <c r="F157" s="627"/>
      <c r="G157" s="628"/>
      <c r="H157" s="627"/>
      <c r="I157" s="628"/>
      <c r="J157" s="627"/>
      <c r="K157" s="628"/>
      <c r="L157" s="627"/>
      <c r="O157" s="950"/>
    </row>
    <row r="158" spans="1:15" s="629" customFormat="1" ht="12.75">
      <c r="A158" s="648" t="s">
        <v>1457</v>
      </c>
      <c r="B158" s="740"/>
      <c r="C158" s="626"/>
      <c r="D158" s="627"/>
      <c r="E158" s="628"/>
      <c r="F158" s="627"/>
      <c r="G158" s="628"/>
      <c r="H158" s="627"/>
      <c r="I158" s="628"/>
      <c r="J158" s="627"/>
      <c r="K158" s="628"/>
      <c r="L158" s="627"/>
      <c r="O158" s="950"/>
    </row>
    <row r="159" spans="1:15" s="629" customFormat="1" ht="12.75">
      <c r="A159" s="648" t="s">
        <v>925</v>
      </c>
      <c r="B159" s="740"/>
      <c r="C159" s="626"/>
      <c r="D159" s="627">
        <v>0</v>
      </c>
      <c r="E159" s="628"/>
      <c r="F159" s="627">
        <v>0</v>
      </c>
      <c r="G159" s="628"/>
      <c r="H159" s="627">
        <f>J159-F159</f>
        <v>0</v>
      </c>
      <c r="I159" s="628"/>
      <c r="J159" s="627">
        <v>0</v>
      </c>
      <c r="K159" s="628"/>
      <c r="L159" s="627">
        <v>0</v>
      </c>
      <c r="O159" s="950"/>
    </row>
    <row r="160" spans="1:15" s="629" customFormat="1" ht="12.75">
      <c r="A160" s="648" t="s">
        <v>1458</v>
      </c>
      <c r="B160" s="740"/>
      <c r="C160" s="626"/>
      <c r="D160" s="627"/>
      <c r="E160" s="628"/>
      <c r="F160" s="627"/>
      <c r="G160" s="628"/>
      <c r="H160" s="627"/>
      <c r="I160" s="628"/>
      <c r="J160" s="627"/>
      <c r="K160" s="628"/>
      <c r="L160" s="627"/>
      <c r="O160" s="950"/>
    </row>
    <row r="161" spans="1:15" s="629" customFormat="1" ht="12.75">
      <c r="A161" s="648" t="s">
        <v>926</v>
      </c>
      <c r="B161" s="741" t="s">
        <v>999</v>
      </c>
      <c r="C161" s="626"/>
      <c r="D161" s="627">
        <v>38306</v>
      </c>
      <c r="E161" s="628"/>
      <c r="F161" s="627">
        <v>0</v>
      </c>
      <c r="G161" s="628"/>
      <c r="H161" s="627">
        <f>J161-F161</f>
        <v>0</v>
      </c>
      <c r="I161" s="628"/>
      <c r="J161" s="627">
        <v>0</v>
      </c>
      <c r="K161" s="628"/>
      <c r="L161" s="627">
        <v>0</v>
      </c>
      <c r="O161" s="950"/>
    </row>
    <row r="162" spans="1:15" s="629" customFormat="1" ht="13.5" customHeight="1">
      <c r="A162" s="648" t="s">
        <v>1459</v>
      </c>
      <c r="B162" s="740"/>
      <c r="C162" s="626"/>
      <c r="D162" s="627"/>
      <c r="E162" s="628"/>
      <c r="F162" s="627"/>
      <c r="G162" s="628"/>
      <c r="H162" s="627"/>
      <c r="I162" s="628"/>
      <c r="J162" s="627"/>
      <c r="K162" s="628"/>
      <c r="L162" s="627"/>
      <c r="O162" s="950"/>
    </row>
    <row r="163" spans="1:15" s="629" customFormat="1" ht="12.75">
      <c r="A163" s="648" t="s">
        <v>1460</v>
      </c>
      <c r="B163" s="900" t="s">
        <v>1435</v>
      </c>
      <c r="C163" s="626"/>
      <c r="D163" s="639">
        <v>0</v>
      </c>
      <c r="E163" s="628"/>
      <c r="F163" s="637">
        <v>0</v>
      </c>
      <c r="G163" s="626"/>
      <c r="H163" s="627">
        <f>J163-F163</f>
        <v>0</v>
      </c>
      <c r="I163" s="628"/>
      <c r="J163" s="627">
        <v>0</v>
      </c>
      <c r="K163" s="628"/>
      <c r="L163" s="627">
        <v>200000</v>
      </c>
      <c r="O163" s="950"/>
    </row>
    <row r="164" spans="1:15" s="629" customFormat="1" ht="14.25" customHeight="1">
      <c r="A164" s="648" t="s">
        <v>1461</v>
      </c>
      <c r="B164" s="838" t="s">
        <v>181</v>
      </c>
      <c r="C164" s="626"/>
      <c r="D164" s="627"/>
      <c r="E164" s="628"/>
      <c r="F164" s="627"/>
      <c r="G164" s="628"/>
      <c r="H164" s="627"/>
      <c r="I164" s="628"/>
      <c r="J164" s="627"/>
      <c r="K164" s="628"/>
      <c r="L164" s="627"/>
      <c r="O164" s="950"/>
    </row>
    <row r="165" spans="1:15" s="629" customFormat="1" ht="12.75">
      <c r="A165" s="648" t="s">
        <v>1462</v>
      </c>
      <c r="B165" s="838" t="s">
        <v>181</v>
      </c>
      <c r="C165" s="626"/>
      <c r="D165" s="639">
        <v>100000</v>
      </c>
      <c r="E165" s="628"/>
      <c r="F165" s="637">
        <v>0</v>
      </c>
      <c r="G165" s="626"/>
      <c r="H165" s="627">
        <f t="shared" ref="H165:H166" si="24">J165-F165</f>
        <v>0</v>
      </c>
      <c r="I165" s="628"/>
      <c r="J165" s="627">
        <v>0</v>
      </c>
      <c r="K165" s="628"/>
      <c r="L165" s="627">
        <v>0</v>
      </c>
      <c r="O165" s="950"/>
    </row>
    <row r="166" spans="1:15" s="629" customFormat="1" ht="12.75">
      <c r="A166" s="648" t="s">
        <v>1463</v>
      </c>
      <c r="B166" s="838" t="s">
        <v>181</v>
      </c>
      <c r="C166" s="626"/>
      <c r="D166" s="639">
        <v>100000</v>
      </c>
      <c r="E166" s="628"/>
      <c r="F166" s="637">
        <v>0</v>
      </c>
      <c r="G166" s="626"/>
      <c r="H166" s="627">
        <f t="shared" si="24"/>
        <v>0</v>
      </c>
      <c r="I166" s="628"/>
      <c r="J166" s="627">
        <v>0</v>
      </c>
      <c r="K166" s="628"/>
      <c r="L166" s="627">
        <v>0</v>
      </c>
      <c r="O166" s="950"/>
    </row>
    <row r="167" spans="1:15" s="629" customFormat="1" ht="14.25" customHeight="1">
      <c r="A167" s="648" t="s">
        <v>1464</v>
      </c>
      <c r="B167" s="838" t="s">
        <v>181</v>
      </c>
      <c r="C167" s="626"/>
      <c r="D167" s="627"/>
      <c r="E167" s="628"/>
      <c r="F167" s="627"/>
      <c r="G167" s="628"/>
      <c r="H167" s="627"/>
      <c r="I167" s="628"/>
      <c r="J167" s="627"/>
      <c r="K167" s="628"/>
      <c r="L167" s="627"/>
      <c r="O167" s="950"/>
    </row>
    <row r="168" spans="1:15" s="629" customFormat="1" ht="12.75">
      <c r="A168" s="648" t="s">
        <v>1465</v>
      </c>
      <c r="B168" s="838" t="s">
        <v>181</v>
      </c>
      <c r="C168" s="626"/>
      <c r="D168" s="639">
        <v>0</v>
      </c>
      <c r="E168" s="628"/>
      <c r="F168" s="637">
        <v>0</v>
      </c>
      <c r="G168" s="626"/>
      <c r="H168" s="627">
        <f t="shared" ref="H168:H173" si="25">J168-F168</f>
        <v>300000</v>
      </c>
      <c r="I168" s="628"/>
      <c r="J168" s="627">
        <v>300000</v>
      </c>
      <c r="K168" s="628"/>
      <c r="L168" s="637">
        <v>0</v>
      </c>
      <c r="O168" s="950"/>
    </row>
    <row r="169" spans="1:15" s="629" customFormat="1" ht="12.75">
      <c r="A169" s="648" t="s">
        <v>1466</v>
      </c>
      <c r="B169" s="838" t="s">
        <v>181</v>
      </c>
      <c r="C169" s="626"/>
      <c r="D169" s="639">
        <v>0</v>
      </c>
      <c r="E169" s="628"/>
      <c r="F169" s="637">
        <v>0</v>
      </c>
      <c r="G169" s="626"/>
      <c r="H169" s="627">
        <f t="shared" si="25"/>
        <v>2000000</v>
      </c>
      <c r="I169" s="628"/>
      <c r="J169" s="627">
        <v>2000000</v>
      </c>
      <c r="K169" s="628"/>
      <c r="L169" s="637">
        <v>0</v>
      </c>
      <c r="O169" s="950"/>
    </row>
    <row r="170" spans="1:15" s="629" customFormat="1" ht="12.75">
      <c r="A170" s="648" t="s">
        <v>1467</v>
      </c>
      <c r="B170" s="899" t="s">
        <v>181</v>
      </c>
      <c r="C170" s="626"/>
      <c r="D170" s="639">
        <v>0</v>
      </c>
      <c r="E170" s="628"/>
      <c r="F170" s="637">
        <v>0</v>
      </c>
      <c r="G170" s="626"/>
      <c r="H170" s="627">
        <f t="shared" si="25"/>
        <v>1500000</v>
      </c>
      <c r="I170" s="628"/>
      <c r="J170" s="627">
        <v>1500000</v>
      </c>
      <c r="K170" s="628"/>
      <c r="L170" s="637">
        <v>0</v>
      </c>
      <c r="O170" s="950"/>
    </row>
    <row r="171" spans="1:15" s="629" customFormat="1" ht="12.75">
      <c r="A171" s="648" t="s">
        <v>1468</v>
      </c>
      <c r="B171" s="899" t="s">
        <v>998</v>
      </c>
      <c r="C171" s="626"/>
      <c r="D171" s="639">
        <v>0</v>
      </c>
      <c r="E171" s="628"/>
      <c r="F171" s="637">
        <v>0</v>
      </c>
      <c r="G171" s="626"/>
      <c r="H171" s="627">
        <f t="shared" si="25"/>
        <v>0</v>
      </c>
      <c r="I171" s="628"/>
      <c r="J171" s="627">
        <v>0</v>
      </c>
      <c r="K171" s="628"/>
      <c r="L171" s="637">
        <v>300000</v>
      </c>
      <c r="O171" s="950"/>
    </row>
    <row r="172" spans="1:15" s="629" customFormat="1" ht="12.75">
      <c r="A172" s="648" t="s">
        <v>1469</v>
      </c>
      <c r="B172" s="899" t="s">
        <v>998</v>
      </c>
      <c r="C172" s="626"/>
      <c r="D172" s="639">
        <v>0</v>
      </c>
      <c r="E172" s="628"/>
      <c r="F172" s="637">
        <v>0</v>
      </c>
      <c r="G172" s="626"/>
      <c r="H172" s="627">
        <f t="shared" si="25"/>
        <v>0</v>
      </c>
      <c r="I172" s="628"/>
      <c r="J172" s="627">
        <v>0</v>
      </c>
      <c r="K172" s="628"/>
      <c r="L172" s="637">
        <v>2000000</v>
      </c>
      <c r="O172" s="950"/>
    </row>
    <row r="173" spans="1:15" s="629" customFormat="1" ht="25.5">
      <c r="A173" s="647" t="s">
        <v>1470</v>
      </c>
      <c r="B173" s="838" t="s">
        <v>998</v>
      </c>
      <c r="C173" s="626"/>
      <c r="D173" s="639">
        <v>0</v>
      </c>
      <c r="E173" s="628"/>
      <c r="F173" s="637">
        <v>0</v>
      </c>
      <c r="G173" s="626"/>
      <c r="H173" s="627">
        <f t="shared" si="25"/>
        <v>0</v>
      </c>
      <c r="I173" s="628"/>
      <c r="J173" s="627">
        <v>0</v>
      </c>
      <c r="K173" s="628"/>
      <c r="L173" s="637">
        <v>500000</v>
      </c>
      <c r="O173" s="950"/>
    </row>
    <row r="174" spans="1:15" s="629" customFormat="1" ht="14.25" customHeight="1">
      <c r="A174" s="648" t="s">
        <v>1471</v>
      </c>
      <c r="B174" s="739" t="s">
        <v>181</v>
      </c>
      <c r="C174" s="626"/>
      <c r="D174" s="627"/>
      <c r="E174" s="628"/>
      <c r="F174" s="627"/>
      <c r="G174" s="628"/>
      <c r="H174" s="627"/>
      <c r="I174" s="628"/>
      <c r="J174" s="627"/>
      <c r="K174" s="628"/>
      <c r="L174" s="627"/>
      <c r="O174" s="950"/>
    </row>
    <row r="175" spans="1:15" s="629" customFormat="1" ht="12.75">
      <c r="A175" s="648" t="s">
        <v>1472</v>
      </c>
      <c r="B175" s="739" t="s">
        <v>181</v>
      </c>
      <c r="C175" s="626"/>
      <c r="D175" s="639">
        <v>0</v>
      </c>
      <c r="E175" s="628"/>
      <c r="F175" s="637">
        <v>70828</v>
      </c>
      <c r="G175" s="626"/>
      <c r="H175" s="627">
        <f>J175-F175</f>
        <v>229172</v>
      </c>
      <c r="I175" s="628"/>
      <c r="J175" s="627">
        <v>300000</v>
      </c>
      <c r="K175" s="628"/>
      <c r="L175" s="637">
        <v>0</v>
      </c>
      <c r="O175" s="950"/>
    </row>
    <row r="176" spans="1:15" s="629" customFormat="1" ht="8.25" customHeight="1">
      <c r="A176" s="628"/>
      <c r="B176" s="735"/>
      <c r="C176" s="626"/>
      <c r="D176" s="642"/>
      <c r="E176" s="633"/>
      <c r="F176" s="632"/>
      <c r="G176" s="633"/>
      <c r="H176" s="627"/>
      <c r="I176" s="633"/>
      <c r="J176" s="632"/>
      <c r="K176" s="633"/>
      <c r="L176" s="632"/>
      <c r="O176" s="950"/>
    </row>
    <row r="177" spans="1:28" s="629" customFormat="1" ht="12.75">
      <c r="A177" s="649" t="s">
        <v>86</v>
      </c>
      <c r="B177" s="729"/>
      <c r="C177" s="650" t="s">
        <v>15</v>
      </c>
      <c r="D177" s="651">
        <f>SUM(D15:D176)</f>
        <v>53413927.890000008</v>
      </c>
      <c r="E177" s="652" t="s">
        <v>15</v>
      </c>
      <c r="F177" s="651">
        <f>SUM(F15:F176)</f>
        <v>31517137.539999999</v>
      </c>
      <c r="G177" s="652" t="s">
        <v>15</v>
      </c>
      <c r="H177" s="651">
        <f>SUM(H15:H176)</f>
        <v>58637031.460000001</v>
      </c>
      <c r="I177" s="652" t="s">
        <v>15</v>
      </c>
      <c r="J177" s="651">
        <f>SUM(J15:J176)</f>
        <v>90154169</v>
      </c>
      <c r="K177" s="652" t="s">
        <v>15</v>
      </c>
      <c r="L177" s="651">
        <f>SUM(L15:L176)</f>
        <v>77108950</v>
      </c>
      <c r="O177" s="950"/>
    </row>
    <row r="178" spans="1:28" s="629" customFormat="1" ht="11.25" customHeight="1">
      <c r="A178" s="633"/>
      <c r="B178" s="737"/>
      <c r="C178" s="631"/>
      <c r="D178" s="642"/>
      <c r="E178" s="633"/>
      <c r="F178" s="642"/>
      <c r="G178" s="633"/>
      <c r="H178" s="642"/>
      <c r="I178" s="633"/>
      <c r="J178" s="642"/>
      <c r="K178" s="633"/>
      <c r="L178" s="642"/>
      <c r="O178" s="950"/>
    </row>
    <row r="179" spans="1:28" s="629" customFormat="1" ht="13.5" customHeight="1">
      <c r="A179" s="1149" t="s">
        <v>1623</v>
      </c>
      <c r="B179" s="1148"/>
      <c r="C179" s="626"/>
      <c r="D179" s="639"/>
      <c r="E179" s="626"/>
      <c r="F179" s="639"/>
      <c r="G179" s="626"/>
      <c r="H179" s="639"/>
      <c r="I179" s="626"/>
      <c r="J179" s="639"/>
      <c r="K179" s="626"/>
      <c r="L179" s="639"/>
      <c r="O179" s="950"/>
    </row>
    <row r="180" spans="1:28" s="655" customFormat="1" ht="16.5" customHeight="1">
      <c r="A180" s="653" t="s">
        <v>987</v>
      </c>
      <c r="B180" s="654" t="s">
        <v>946</v>
      </c>
      <c r="C180" s="654"/>
      <c r="E180" s="654"/>
      <c r="F180" s="655" t="s">
        <v>947</v>
      </c>
      <c r="G180" s="654"/>
      <c r="I180" s="654"/>
      <c r="J180" s="656"/>
      <c r="K180" s="654"/>
      <c r="M180" s="654"/>
      <c r="N180" s="654"/>
      <c r="O180" s="951"/>
      <c r="P180" s="654"/>
      <c r="Q180" s="654"/>
    </row>
    <row r="181" spans="1:28" s="613" customFormat="1" ht="10.5">
      <c r="B181" s="738"/>
      <c r="C181" s="738"/>
      <c r="E181" s="738"/>
      <c r="G181" s="738"/>
      <c r="I181" s="738"/>
      <c r="J181" s="614"/>
      <c r="K181" s="738"/>
      <c r="O181" s="947"/>
    </row>
    <row r="182" spans="1:28" s="613" customFormat="1" ht="10.5">
      <c r="B182" s="738"/>
      <c r="C182" s="738"/>
      <c r="E182" s="738"/>
      <c r="G182" s="738"/>
      <c r="I182" s="738"/>
      <c r="J182" s="614"/>
      <c r="K182" s="738"/>
      <c r="O182" s="952" t="s">
        <v>187</v>
      </c>
      <c r="P182" s="655"/>
      <c r="Q182" s="653" t="s">
        <v>927</v>
      </c>
      <c r="R182" s="653" t="s">
        <v>187</v>
      </c>
      <c r="S182" s="654"/>
      <c r="T182" s="655"/>
      <c r="U182" s="654"/>
      <c r="V182" s="655" t="s">
        <v>928</v>
      </c>
      <c r="W182" s="654"/>
      <c r="X182" s="655"/>
      <c r="Y182" s="654"/>
      <c r="Z182" s="656"/>
      <c r="AA182" s="654"/>
      <c r="AB182" s="655"/>
    </row>
    <row r="183" spans="1:28" s="613" customFormat="1" ht="10.5">
      <c r="B183" s="738"/>
      <c r="C183" s="738"/>
      <c r="E183" s="738"/>
      <c r="G183" s="738"/>
      <c r="I183" s="738"/>
      <c r="J183" s="614"/>
      <c r="K183" s="738"/>
      <c r="O183" s="952"/>
      <c r="P183" s="655"/>
      <c r="Q183" s="653"/>
      <c r="R183" s="653"/>
      <c r="S183" s="654"/>
      <c r="T183" s="655"/>
      <c r="U183" s="654"/>
      <c r="V183" s="655"/>
      <c r="W183" s="654"/>
      <c r="X183" s="655"/>
      <c r="Y183" s="654"/>
      <c r="Z183" s="656"/>
      <c r="AA183" s="654"/>
      <c r="AB183" s="655"/>
    </row>
    <row r="184" spans="1:28" s="613" customFormat="1" ht="12.75">
      <c r="A184" s="657" t="s">
        <v>1588</v>
      </c>
      <c r="B184" s="731"/>
      <c r="C184" s="657"/>
      <c r="D184" s="657"/>
      <c r="E184" s="657"/>
      <c r="F184" s="657"/>
      <c r="G184" s="657"/>
      <c r="H184" s="657"/>
      <c r="I184" s="657"/>
      <c r="J184" s="657"/>
      <c r="K184" s="657"/>
      <c r="L184" s="657"/>
      <c r="M184" s="658"/>
      <c r="N184" s="658"/>
      <c r="O184" s="948"/>
      <c r="R184" s="738"/>
      <c r="S184" s="738"/>
      <c r="U184" s="738"/>
      <c r="W184" s="738"/>
      <c r="Y184" s="738"/>
      <c r="Z184" s="614"/>
      <c r="AA184" s="738"/>
    </row>
    <row r="185" spans="1:28" s="658" customFormat="1" ht="15" customHeight="1">
      <c r="A185" s="659" t="s">
        <v>1589</v>
      </c>
      <c r="B185" s="732"/>
      <c r="C185" s="659"/>
      <c r="D185" s="659"/>
      <c r="E185" s="659"/>
      <c r="F185" s="659"/>
      <c r="G185" s="659"/>
      <c r="H185" s="659"/>
      <c r="I185" s="659"/>
      <c r="J185" s="659"/>
      <c r="K185" s="659"/>
      <c r="L185" s="659"/>
      <c r="M185" s="659"/>
      <c r="N185" s="659"/>
      <c r="O185" s="948"/>
      <c r="P185" s="613"/>
      <c r="Q185" s="613"/>
      <c r="R185" s="738"/>
      <c r="S185" s="738"/>
      <c r="T185" s="613"/>
      <c r="U185" s="738"/>
      <c r="V185" s="613"/>
      <c r="W185" s="738"/>
      <c r="X185" s="613"/>
      <c r="Y185" s="738"/>
      <c r="Z185" s="614"/>
      <c r="AA185" s="738"/>
      <c r="AB185" s="613"/>
    </row>
    <row r="186" spans="1:28" s="659" customFormat="1">
      <c r="A186" s="1433"/>
      <c r="B186" s="1433"/>
      <c r="C186" s="1433"/>
      <c r="D186" s="1433"/>
      <c r="E186" s="1433"/>
      <c r="F186" s="1433"/>
      <c r="G186" s="1433"/>
      <c r="H186" s="1433"/>
      <c r="I186" s="1433"/>
      <c r="J186" s="1433"/>
      <c r="K186" s="1433"/>
      <c r="L186" s="1433"/>
      <c r="O186" s="948"/>
      <c r="P186" s="613"/>
      <c r="Q186" s="613"/>
      <c r="R186" s="738"/>
      <c r="S186" s="738"/>
      <c r="T186" s="613"/>
      <c r="U186" s="738"/>
      <c r="V186" s="613"/>
      <c r="W186" s="738"/>
      <c r="X186" s="613"/>
      <c r="Y186" s="738"/>
      <c r="Z186" s="614"/>
      <c r="AA186" s="738"/>
      <c r="AB186" s="613"/>
    </row>
    <row r="187" spans="1:28" s="613" customFormat="1" ht="10.5">
      <c r="B187" s="738"/>
      <c r="C187" s="738"/>
      <c r="E187" s="738"/>
      <c r="G187" s="738"/>
      <c r="I187" s="738"/>
      <c r="J187" s="614"/>
      <c r="K187" s="738"/>
      <c r="O187" s="947"/>
    </row>
    <row r="188" spans="1:28" s="613" customFormat="1" ht="10.5">
      <c r="B188" s="738"/>
      <c r="C188" s="738"/>
      <c r="E188" s="738"/>
      <c r="G188" s="738"/>
      <c r="I188" s="738"/>
      <c r="J188" s="614"/>
      <c r="K188" s="738"/>
      <c r="O188" s="947"/>
    </row>
    <row r="189" spans="1:28" s="613" customFormat="1" ht="10.5">
      <c r="B189" s="738"/>
      <c r="C189" s="738"/>
      <c r="E189" s="738"/>
      <c r="G189" s="738"/>
      <c r="I189" s="738"/>
      <c r="J189" s="614"/>
      <c r="K189" s="738"/>
      <c r="O189" s="947"/>
    </row>
    <row r="190" spans="1:28" s="613" customFormat="1" ht="10.5">
      <c r="B190" s="738"/>
      <c r="C190" s="738"/>
      <c r="E190" s="738"/>
      <c r="G190" s="738"/>
      <c r="I190" s="738"/>
      <c r="J190" s="614"/>
      <c r="K190" s="738"/>
      <c r="O190" s="947"/>
    </row>
    <row r="191" spans="1:28" s="613" customFormat="1" ht="10.5">
      <c r="B191" s="738"/>
      <c r="C191" s="738"/>
      <c r="E191" s="738"/>
      <c r="G191" s="738"/>
      <c r="I191" s="738"/>
      <c r="J191" s="614"/>
      <c r="K191" s="738"/>
      <c r="O191" s="947"/>
    </row>
    <row r="192" spans="1:28" s="613" customFormat="1" ht="10.5">
      <c r="B192" s="738"/>
      <c r="C192" s="738"/>
      <c r="E192" s="738"/>
      <c r="G192" s="738"/>
      <c r="I192" s="738"/>
      <c r="J192" s="614"/>
      <c r="K192" s="738"/>
      <c r="O192" s="947"/>
    </row>
    <row r="193" spans="2:15" s="613" customFormat="1" ht="10.5">
      <c r="B193" s="738"/>
      <c r="C193" s="738"/>
      <c r="E193" s="738"/>
      <c r="G193" s="738"/>
      <c r="I193" s="738"/>
      <c r="J193" s="614"/>
      <c r="K193" s="738"/>
      <c r="O193" s="947"/>
    </row>
  </sheetData>
  <sheetProtection algorithmName="SHA-512" hashValue="tnSvSG2BmIjh31c6ndpK9pmnWJUkH91Tui9h4t4o1I6FD1Fy2Rfz744f/7UYlQLayVPpWIwudRKzeUnICEfOdg==" saltValue="rrM0rv5bkF7uYUFQYNCi/g==" spinCount="100000" sheet="1" objects="1" scenarios="1"/>
  <mergeCells count="31">
    <mergeCell ref="K13:L13"/>
    <mergeCell ref="A186:L186"/>
    <mergeCell ref="B41:B42"/>
    <mergeCell ref="B126:B127"/>
    <mergeCell ref="B142:B144"/>
    <mergeCell ref="B146:B148"/>
    <mergeCell ref="B152:B155"/>
    <mergeCell ref="B60:B61"/>
    <mergeCell ref="B130:B131"/>
    <mergeCell ref="B136:B137"/>
    <mergeCell ref="B133:B134"/>
    <mergeCell ref="B71:B72"/>
    <mergeCell ref="B15:B16"/>
    <mergeCell ref="B23:B25"/>
    <mergeCell ref="B26:B27"/>
    <mergeCell ref="A3:M3"/>
    <mergeCell ref="A4:M4"/>
    <mergeCell ref="E7:L7"/>
    <mergeCell ref="E8:L8"/>
    <mergeCell ref="B11:B13"/>
    <mergeCell ref="C11:D11"/>
    <mergeCell ref="E11:J11"/>
    <mergeCell ref="K11:L11"/>
    <mergeCell ref="C12:D12"/>
    <mergeCell ref="E12:F12"/>
    <mergeCell ref="G12:H12"/>
    <mergeCell ref="I12:J13"/>
    <mergeCell ref="K12:L12"/>
    <mergeCell ref="C13:D13"/>
    <mergeCell ref="E13:F13"/>
    <mergeCell ref="G13:H13"/>
  </mergeCells>
  <pageMargins left="0.15" right="0.15" top="1" bottom="2" header="0.3" footer="0.3"/>
  <pageSetup paperSize="5" orientation="portrait" verticalDpi="300" r:id="rId1"/>
  <headerFooter>
    <oddHeader>&amp;RPage &amp;P of &amp;N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32"/>
  <sheetViews>
    <sheetView topLeftCell="A313" zoomScale="145" zoomScaleNormal="145" workbookViewId="0">
      <selection activeCell="N22" sqref="N22"/>
    </sheetView>
  </sheetViews>
  <sheetFormatPr defaultColWidth="9.140625" defaultRowHeight="11.25"/>
  <cols>
    <col min="1" max="1" width="37.5703125" style="608" customWidth="1"/>
    <col min="2" max="2" width="9.42578125" style="667" customWidth="1"/>
    <col min="3" max="3" width="1.28515625" style="608" customWidth="1"/>
    <col min="4" max="4" width="9.85546875" style="608" customWidth="1"/>
    <col min="5" max="5" width="1.140625" style="608" customWidth="1"/>
    <col min="6" max="6" width="9" style="608" customWidth="1"/>
    <col min="7" max="7" width="1.28515625" style="608" customWidth="1"/>
    <col min="8" max="8" width="9.85546875" style="608" customWidth="1"/>
    <col min="9" max="9" width="1.42578125" style="608" customWidth="1"/>
    <col min="10" max="10" width="9.85546875" style="608" customWidth="1"/>
    <col min="11" max="11" width="1.42578125" style="608" customWidth="1"/>
    <col min="12" max="12" width="9.5703125" style="608" customWidth="1"/>
    <col min="13" max="18" width="9.140625" style="608"/>
    <col min="19" max="19" width="16" style="608" customWidth="1"/>
    <col min="20" max="16384" width="9.140625" style="608"/>
  </cols>
  <sheetData>
    <row r="1" spans="1:17" s="577" customFormat="1" ht="13.5">
      <c r="A1" s="417" t="s">
        <v>186</v>
      </c>
      <c r="B1" s="714"/>
      <c r="C1" s="417"/>
      <c r="D1" s="418"/>
      <c r="E1" s="417"/>
      <c r="F1" s="418"/>
      <c r="G1" s="417"/>
      <c r="H1" s="418"/>
      <c r="I1" s="417"/>
      <c r="J1" s="418"/>
      <c r="K1" s="417"/>
      <c r="L1" s="418"/>
      <c r="M1" s="417"/>
    </row>
    <row r="2" spans="1:17" s="577" customFormat="1" ht="9.75" customHeight="1">
      <c r="A2" s="417"/>
      <c r="B2" s="714"/>
      <c r="C2" s="417"/>
      <c r="D2" s="418"/>
      <c r="E2" s="417"/>
      <c r="F2" s="418"/>
      <c r="G2" s="417"/>
      <c r="H2" s="418"/>
      <c r="I2" s="417"/>
      <c r="J2" s="418"/>
      <c r="K2" s="417"/>
      <c r="L2" s="418"/>
      <c r="M2" s="417"/>
    </row>
    <row r="3" spans="1:17" s="577" customFormat="1" ht="13.5">
      <c r="A3" s="1383" t="s">
        <v>195</v>
      </c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419"/>
      <c r="N3" s="715"/>
      <c r="O3" s="715"/>
      <c r="P3" s="715"/>
      <c r="Q3" s="715"/>
    </row>
    <row r="4" spans="1:17" s="577" customFormat="1" ht="13.5">
      <c r="A4" s="1383" t="s">
        <v>401</v>
      </c>
      <c r="B4" s="1383"/>
      <c r="C4" s="1383"/>
      <c r="D4" s="1383"/>
      <c r="E4" s="1383"/>
      <c r="F4" s="1383"/>
      <c r="G4" s="1383"/>
      <c r="H4" s="1383"/>
      <c r="I4" s="1383"/>
      <c r="J4" s="1383"/>
      <c r="K4" s="1383"/>
      <c r="L4" s="1383"/>
      <c r="M4" s="419"/>
      <c r="N4" s="715"/>
      <c r="O4" s="715"/>
      <c r="P4" s="715"/>
      <c r="Q4" s="715"/>
    </row>
    <row r="5" spans="1:17" s="577" customFormat="1" ht="11.25" customHeight="1">
      <c r="B5" s="715"/>
      <c r="C5" s="578"/>
      <c r="E5" s="578"/>
      <c r="G5" s="578"/>
      <c r="I5" s="578"/>
      <c r="K5" s="578"/>
    </row>
    <row r="6" spans="1:17" s="577" customFormat="1" ht="10.5">
      <c r="A6" s="580" t="s">
        <v>942</v>
      </c>
      <c r="B6" s="715"/>
      <c r="C6" s="578"/>
      <c r="E6" s="578"/>
      <c r="G6" s="578"/>
      <c r="I6" s="578"/>
      <c r="K6" s="578"/>
    </row>
    <row r="7" spans="1:17" s="577" customFormat="1" ht="10.5" hidden="1">
      <c r="A7" s="579"/>
      <c r="B7" s="715" t="s">
        <v>2</v>
      </c>
      <c r="C7" s="578"/>
      <c r="E7" s="1438"/>
      <c r="F7" s="1438"/>
      <c r="G7" s="1438"/>
      <c r="H7" s="1438"/>
      <c r="I7" s="1438"/>
      <c r="J7" s="1438"/>
      <c r="K7" s="1438"/>
      <c r="L7" s="1438"/>
    </row>
    <row r="8" spans="1:17" s="577" customFormat="1" ht="10.5" hidden="1">
      <c r="A8" s="579"/>
      <c r="B8" s="715" t="s">
        <v>3</v>
      </c>
      <c r="C8" s="578"/>
      <c r="E8" s="1439"/>
      <c r="F8" s="1439"/>
      <c r="G8" s="1439"/>
      <c r="H8" s="1439"/>
      <c r="I8" s="1439"/>
      <c r="J8" s="1439"/>
      <c r="K8" s="1439"/>
      <c r="L8" s="1439"/>
    </row>
    <row r="9" spans="1:17" s="577" customFormat="1" ht="10.5" hidden="1">
      <c r="A9" s="579"/>
      <c r="B9" s="715" t="s">
        <v>4</v>
      </c>
      <c r="C9" s="578"/>
      <c r="E9" s="578"/>
      <c r="G9" s="578"/>
      <c r="I9" s="578"/>
      <c r="K9" s="578"/>
    </row>
    <row r="10" spans="1:17" s="577" customFormat="1" ht="6" customHeight="1">
      <c r="A10" s="579"/>
      <c r="B10" s="715"/>
      <c r="C10" s="578"/>
      <c r="E10" s="578"/>
      <c r="G10" s="578"/>
      <c r="I10" s="578"/>
      <c r="K10" s="578"/>
    </row>
    <row r="11" spans="1:17" s="577" customFormat="1" ht="12.75">
      <c r="A11" s="581"/>
      <c r="B11" s="1440" t="s">
        <v>929</v>
      </c>
      <c r="C11" s="1443" t="s">
        <v>7</v>
      </c>
      <c r="D11" s="1443"/>
      <c r="E11" s="1444" t="s">
        <v>1304</v>
      </c>
      <c r="F11" s="1445"/>
      <c r="G11" s="1445"/>
      <c r="H11" s="1445"/>
      <c r="I11" s="1445"/>
      <c r="J11" s="1446"/>
      <c r="K11" s="1443" t="s">
        <v>8</v>
      </c>
      <c r="L11" s="1443"/>
    </row>
    <row r="12" spans="1:17" s="577" customFormat="1" ht="12.75">
      <c r="A12" s="582" t="s">
        <v>894</v>
      </c>
      <c r="B12" s="1441"/>
      <c r="C12" s="1447">
        <v>2021</v>
      </c>
      <c r="D12" s="1447"/>
      <c r="E12" s="1448" t="s">
        <v>184</v>
      </c>
      <c r="F12" s="1449"/>
      <c r="G12" s="1448" t="s">
        <v>185</v>
      </c>
      <c r="H12" s="1449"/>
      <c r="I12" s="1450" t="s">
        <v>64</v>
      </c>
      <c r="J12" s="1451"/>
      <c r="K12" s="1447">
        <v>2023</v>
      </c>
      <c r="L12" s="1447"/>
    </row>
    <row r="13" spans="1:17" s="577" customFormat="1" ht="12.75">
      <c r="A13" s="583"/>
      <c r="B13" s="1442"/>
      <c r="C13" s="1454" t="s">
        <v>10</v>
      </c>
      <c r="D13" s="1454"/>
      <c r="E13" s="1455" t="s">
        <v>10</v>
      </c>
      <c r="F13" s="1456"/>
      <c r="G13" s="1455" t="s">
        <v>9</v>
      </c>
      <c r="H13" s="1456"/>
      <c r="I13" s="1452"/>
      <c r="J13" s="1453"/>
      <c r="K13" s="1454" t="s">
        <v>27</v>
      </c>
      <c r="L13" s="1454"/>
    </row>
    <row r="14" spans="1:17" s="589" customFormat="1" ht="12.75">
      <c r="A14" s="584" t="s">
        <v>932</v>
      </c>
      <c r="B14" s="1458"/>
      <c r="C14" s="585" t="s">
        <v>15</v>
      </c>
      <c r="D14" s="586">
        <v>4936324.17</v>
      </c>
      <c r="E14" s="587" t="s">
        <v>15</v>
      </c>
      <c r="F14" s="586">
        <v>132981</v>
      </c>
      <c r="G14" s="587" t="s">
        <v>15</v>
      </c>
      <c r="H14" s="586">
        <f>J14-F14</f>
        <v>7917082</v>
      </c>
      <c r="I14" s="587" t="s">
        <v>15</v>
      </c>
      <c r="J14" s="586">
        <v>8050063</v>
      </c>
      <c r="K14" s="587" t="s">
        <v>15</v>
      </c>
      <c r="L14" s="586">
        <v>7188401</v>
      </c>
      <c r="M14" s="588"/>
    </row>
    <row r="15" spans="1:17" s="589" customFormat="1" ht="12" customHeight="1">
      <c r="A15" s="584"/>
      <c r="B15" s="1459"/>
      <c r="C15" s="585"/>
      <c r="D15" s="586"/>
      <c r="E15" s="587"/>
      <c r="F15" s="586"/>
      <c r="G15" s="587"/>
      <c r="H15" s="586"/>
      <c r="I15" s="587"/>
      <c r="J15" s="586"/>
      <c r="K15" s="587"/>
      <c r="L15" s="586"/>
      <c r="M15" s="588"/>
    </row>
    <row r="16" spans="1:17" s="589" customFormat="1" ht="21.75" customHeight="1">
      <c r="A16" s="590" t="s">
        <v>933</v>
      </c>
      <c r="B16" s="718"/>
      <c r="C16" s="585"/>
      <c r="D16" s="586"/>
      <c r="E16" s="587"/>
      <c r="F16" s="586"/>
      <c r="G16" s="587"/>
      <c r="H16" s="586"/>
      <c r="I16" s="587"/>
      <c r="J16" s="586"/>
      <c r="K16" s="587"/>
      <c r="L16" s="586"/>
      <c r="M16" s="588"/>
    </row>
    <row r="17" spans="1:13" s="589" customFormat="1" ht="5.25" customHeight="1">
      <c r="A17" s="584"/>
      <c r="B17" s="718"/>
      <c r="C17" s="585"/>
      <c r="D17" s="586"/>
      <c r="E17" s="587"/>
      <c r="F17" s="586"/>
      <c r="G17" s="587"/>
      <c r="H17" s="586"/>
      <c r="I17" s="587"/>
      <c r="J17" s="586"/>
      <c r="K17" s="587"/>
      <c r="L17" s="586"/>
      <c r="M17" s="588"/>
    </row>
    <row r="18" spans="1:13" s="589" customFormat="1" ht="14.25" customHeight="1">
      <c r="A18" s="591" t="s">
        <v>934</v>
      </c>
      <c r="B18" s="664"/>
      <c r="C18" s="585"/>
      <c r="D18" s="586"/>
      <c r="E18" s="587"/>
      <c r="F18" s="586"/>
      <c r="G18" s="587"/>
      <c r="H18" s="586"/>
      <c r="I18" s="587"/>
      <c r="J18" s="586"/>
      <c r="K18" s="587"/>
      <c r="L18" s="586"/>
      <c r="M18" s="588"/>
    </row>
    <row r="19" spans="1:13" s="589" customFormat="1" ht="12.75">
      <c r="A19" s="584" t="s">
        <v>1476</v>
      </c>
      <c r="B19" s="664"/>
      <c r="C19" s="585"/>
      <c r="D19" s="586"/>
      <c r="E19" s="587"/>
      <c r="F19" s="586"/>
      <c r="G19" s="587"/>
      <c r="H19" s="586"/>
      <c r="I19" s="587"/>
      <c r="J19" s="586"/>
      <c r="K19" s="587"/>
      <c r="L19" s="586"/>
      <c r="M19" s="588"/>
    </row>
    <row r="20" spans="1:13" s="589" customFormat="1" ht="12.75">
      <c r="A20" s="584" t="s">
        <v>935</v>
      </c>
      <c r="B20" s="664"/>
      <c r="C20" s="585"/>
      <c r="D20" s="586"/>
      <c r="E20" s="587"/>
      <c r="F20" s="586"/>
      <c r="G20" s="587"/>
      <c r="H20" s="586"/>
      <c r="I20" s="587"/>
      <c r="J20" s="586"/>
      <c r="K20" s="587"/>
      <c r="L20" s="586"/>
      <c r="M20" s="588"/>
    </row>
    <row r="21" spans="1:13" s="589" customFormat="1" ht="12.75">
      <c r="A21" s="584" t="s">
        <v>949</v>
      </c>
      <c r="B21" s="664" t="s">
        <v>11</v>
      </c>
      <c r="C21" s="585"/>
      <c r="D21" s="586"/>
      <c r="E21" s="587"/>
      <c r="F21" s="586"/>
      <c r="G21" s="587"/>
      <c r="H21" s="586"/>
      <c r="I21" s="587"/>
      <c r="J21" s="586"/>
      <c r="K21" s="587"/>
      <c r="L21" s="586"/>
      <c r="M21" s="588"/>
    </row>
    <row r="22" spans="1:13" s="589" customFormat="1" ht="12.75">
      <c r="A22" s="584" t="s">
        <v>988</v>
      </c>
      <c r="B22" s="664" t="s">
        <v>126</v>
      </c>
      <c r="C22" s="585"/>
      <c r="D22" s="586">
        <v>0</v>
      </c>
      <c r="E22" s="587"/>
      <c r="F22" s="586">
        <v>0</v>
      </c>
      <c r="G22" s="587"/>
      <c r="H22" s="586">
        <f t="shared" ref="H22" si="0">J22-F22</f>
        <v>50000</v>
      </c>
      <c r="I22" s="587"/>
      <c r="J22" s="586">
        <v>50000</v>
      </c>
      <c r="K22" s="587"/>
      <c r="L22" s="586">
        <v>50000</v>
      </c>
      <c r="M22" s="588"/>
    </row>
    <row r="23" spans="1:13" s="589" customFormat="1" ht="12.75">
      <c r="A23" s="584" t="s">
        <v>552</v>
      </c>
      <c r="B23" s="664" t="s">
        <v>128</v>
      </c>
      <c r="C23" s="585"/>
      <c r="D23" s="586">
        <v>0</v>
      </c>
      <c r="E23" s="587"/>
      <c r="F23" s="586">
        <v>0</v>
      </c>
      <c r="G23" s="587"/>
      <c r="H23" s="586">
        <f t="shared" ref="H23:H24" si="1">J23-F23</f>
        <v>20000</v>
      </c>
      <c r="I23" s="587"/>
      <c r="J23" s="586">
        <v>20000</v>
      </c>
      <c r="K23" s="587"/>
      <c r="L23" s="586">
        <v>20000</v>
      </c>
      <c r="M23" s="588"/>
    </row>
    <row r="24" spans="1:13" s="589" customFormat="1" ht="12.75">
      <c r="A24" s="584" t="s">
        <v>950</v>
      </c>
      <c r="B24" s="664" t="s">
        <v>174</v>
      </c>
      <c r="C24" s="585"/>
      <c r="D24" s="586">
        <v>0</v>
      </c>
      <c r="E24" s="587"/>
      <c r="F24" s="586">
        <v>0</v>
      </c>
      <c r="G24" s="587"/>
      <c r="H24" s="586">
        <f t="shared" si="1"/>
        <v>50000</v>
      </c>
      <c r="I24" s="587"/>
      <c r="J24" s="586">
        <v>50000</v>
      </c>
      <c r="K24" s="587"/>
      <c r="L24" s="586">
        <v>50000</v>
      </c>
      <c r="M24" s="588"/>
    </row>
    <row r="25" spans="1:13" s="589" customFormat="1" ht="12.75">
      <c r="A25" s="584" t="s">
        <v>951</v>
      </c>
      <c r="B25" s="664" t="s">
        <v>148</v>
      </c>
      <c r="C25" s="585"/>
      <c r="D25" s="586"/>
      <c r="E25" s="587"/>
      <c r="F25" s="586"/>
      <c r="G25" s="587"/>
      <c r="H25" s="586"/>
      <c r="I25" s="587"/>
      <c r="J25" s="586"/>
      <c r="K25" s="587"/>
      <c r="L25" s="586"/>
      <c r="M25" s="588"/>
    </row>
    <row r="26" spans="1:13" s="589" customFormat="1" ht="12.75">
      <c r="A26" s="584" t="s">
        <v>526</v>
      </c>
      <c r="B26" s="664"/>
      <c r="C26" s="585"/>
      <c r="D26" s="586">
        <v>12000</v>
      </c>
      <c r="E26" s="587"/>
      <c r="F26" s="586">
        <v>0</v>
      </c>
      <c r="G26" s="587"/>
      <c r="H26" s="586">
        <f t="shared" ref="H26:H27" si="2">J26-F26</f>
        <v>1000000</v>
      </c>
      <c r="I26" s="587"/>
      <c r="J26" s="586">
        <v>1000000</v>
      </c>
      <c r="K26" s="587"/>
      <c r="L26" s="586">
        <v>1000000</v>
      </c>
      <c r="M26" s="588"/>
    </row>
    <row r="27" spans="1:13" s="589" customFormat="1" ht="12.75">
      <c r="A27" s="584" t="s">
        <v>993</v>
      </c>
      <c r="B27" s="664"/>
      <c r="C27" s="585"/>
      <c r="D27" s="586">
        <v>14100</v>
      </c>
      <c r="E27" s="587"/>
      <c r="F27" s="586">
        <v>0</v>
      </c>
      <c r="G27" s="587"/>
      <c r="H27" s="586">
        <f t="shared" si="2"/>
        <v>380000</v>
      </c>
      <c r="I27" s="587"/>
      <c r="J27" s="586">
        <v>380000</v>
      </c>
      <c r="K27" s="587"/>
      <c r="L27" s="586">
        <v>380000</v>
      </c>
      <c r="M27" s="588"/>
    </row>
    <row r="28" spans="1:13" s="589" customFormat="1" ht="12.75">
      <c r="A28" s="584" t="s">
        <v>1477</v>
      </c>
      <c r="B28" s="664"/>
      <c r="C28" s="585"/>
      <c r="D28" s="586"/>
      <c r="E28" s="587"/>
      <c r="F28" s="586"/>
      <c r="G28" s="587"/>
      <c r="H28" s="586"/>
      <c r="I28" s="587"/>
      <c r="J28" s="586"/>
      <c r="K28" s="587"/>
      <c r="L28" s="586"/>
      <c r="M28" s="588"/>
    </row>
    <row r="29" spans="1:13" s="589" customFormat="1" ht="12.75">
      <c r="A29" s="584" t="s">
        <v>963</v>
      </c>
      <c r="B29" s="664"/>
      <c r="C29" s="585"/>
      <c r="D29" s="586"/>
      <c r="E29" s="587"/>
      <c r="F29" s="586"/>
      <c r="G29" s="587"/>
      <c r="H29" s="586"/>
      <c r="I29" s="587"/>
      <c r="J29" s="586"/>
      <c r="K29" s="587"/>
      <c r="L29" s="586"/>
      <c r="M29" s="588"/>
    </row>
    <row r="30" spans="1:13" s="589" customFormat="1" ht="12.75">
      <c r="A30" s="584" t="s">
        <v>949</v>
      </c>
      <c r="B30" s="664" t="s">
        <v>11</v>
      </c>
      <c r="C30" s="585"/>
      <c r="D30" s="586"/>
      <c r="E30" s="587"/>
      <c r="F30" s="586"/>
      <c r="G30" s="587"/>
      <c r="H30" s="586"/>
      <c r="I30" s="587"/>
      <c r="J30" s="586"/>
      <c r="K30" s="587"/>
      <c r="L30" s="586"/>
      <c r="M30" s="588"/>
    </row>
    <row r="31" spans="1:13" s="589" customFormat="1" ht="12.75">
      <c r="A31" s="584" t="s">
        <v>950</v>
      </c>
      <c r="B31" s="664" t="s">
        <v>174</v>
      </c>
      <c r="C31" s="585"/>
      <c r="D31" s="586">
        <v>49464</v>
      </c>
      <c r="E31" s="587"/>
      <c r="F31" s="586">
        <v>0</v>
      </c>
      <c r="G31" s="587"/>
      <c r="H31" s="586">
        <f t="shared" ref="H31" si="3">J31-F31</f>
        <v>50000</v>
      </c>
      <c r="I31" s="587"/>
      <c r="J31" s="586">
        <v>50000</v>
      </c>
      <c r="K31" s="587"/>
      <c r="L31" s="586">
        <v>0</v>
      </c>
      <c r="M31" s="588"/>
    </row>
    <row r="32" spans="1:13" s="589" customFormat="1" ht="12.75">
      <c r="A32" s="584" t="s">
        <v>1478</v>
      </c>
      <c r="B32" s="664"/>
      <c r="C32" s="585"/>
      <c r="D32" s="586"/>
      <c r="E32" s="587"/>
      <c r="F32" s="586"/>
      <c r="G32" s="587"/>
      <c r="H32" s="586"/>
      <c r="I32" s="587"/>
      <c r="J32" s="586"/>
      <c r="K32" s="587"/>
      <c r="L32" s="586"/>
      <c r="M32" s="588"/>
    </row>
    <row r="33" spans="1:13" s="589" customFormat="1" ht="12.75">
      <c r="A33" s="584" t="s">
        <v>949</v>
      </c>
      <c r="B33" s="664" t="s">
        <v>11</v>
      </c>
      <c r="C33" s="585"/>
      <c r="D33" s="586"/>
      <c r="E33" s="587"/>
      <c r="F33" s="586"/>
      <c r="G33" s="587"/>
      <c r="H33" s="586"/>
      <c r="I33" s="587"/>
      <c r="J33" s="586"/>
      <c r="K33" s="587"/>
      <c r="L33" s="586"/>
      <c r="M33" s="588"/>
    </row>
    <row r="34" spans="1:13" s="589" customFormat="1" ht="12.75">
      <c r="A34" s="584" t="s">
        <v>988</v>
      </c>
      <c r="B34" s="664" t="s">
        <v>126</v>
      </c>
      <c r="C34" s="585"/>
      <c r="D34" s="586">
        <v>0</v>
      </c>
      <c r="E34" s="587"/>
      <c r="F34" s="586">
        <v>0</v>
      </c>
      <c r="G34" s="587"/>
      <c r="H34" s="586">
        <f t="shared" ref="H34:H35" si="4">J34-F34</f>
        <v>200000</v>
      </c>
      <c r="I34" s="587"/>
      <c r="J34" s="586">
        <v>200000</v>
      </c>
      <c r="K34" s="587"/>
      <c r="L34" s="586">
        <v>0</v>
      </c>
      <c r="M34" s="588"/>
    </row>
    <row r="35" spans="1:13" s="589" customFormat="1" ht="12.75">
      <c r="A35" s="584" t="s">
        <v>989</v>
      </c>
      <c r="B35" s="664" t="s">
        <v>173</v>
      </c>
      <c r="C35" s="585"/>
      <c r="D35" s="586">
        <v>85075</v>
      </c>
      <c r="E35" s="587"/>
      <c r="F35" s="586">
        <v>48000</v>
      </c>
      <c r="G35" s="587"/>
      <c r="H35" s="586">
        <f t="shared" si="4"/>
        <v>52000</v>
      </c>
      <c r="I35" s="587"/>
      <c r="J35" s="586">
        <v>100000</v>
      </c>
      <c r="K35" s="587"/>
      <c r="L35" s="586">
        <v>0</v>
      </c>
      <c r="M35" s="588"/>
    </row>
    <row r="36" spans="1:13" s="589" customFormat="1" ht="12.75">
      <c r="A36" s="584" t="s">
        <v>1286</v>
      </c>
      <c r="B36" s="664" t="s">
        <v>129</v>
      </c>
      <c r="C36" s="585"/>
      <c r="D36" s="586">
        <v>0</v>
      </c>
      <c r="E36" s="587"/>
      <c r="F36" s="586">
        <v>88699.6</v>
      </c>
      <c r="G36" s="587"/>
      <c r="H36" s="586">
        <f>J36-F36</f>
        <v>211300.4</v>
      </c>
      <c r="I36" s="587"/>
      <c r="J36" s="586">
        <v>300000</v>
      </c>
      <c r="K36" s="587"/>
      <c r="L36" s="586">
        <v>0</v>
      </c>
      <c r="M36" s="588"/>
    </row>
    <row r="37" spans="1:13" s="589" customFormat="1" ht="12.75">
      <c r="A37" s="584" t="s">
        <v>1529</v>
      </c>
      <c r="B37" s="664" t="s">
        <v>166</v>
      </c>
      <c r="C37" s="585"/>
      <c r="D37" s="586">
        <v>0</v>
      </c>
      <c r="E37" s="587"/>
      <c r="F37" s="586">
        <v>0</v>
      </c>
      <c r="G37" s="587"/>
      <c r="H37" s="586">
        <f>J37-F37</f>
        <v>0</v>
      </c>
      <c r="I37" s="587"/>
      <c r="J37" s="586">
        <v>0</v>
      </c>
      <c r="K37" s="587"/>
      <c r="L37" s="586">
        <v>100000</v>
      </c>
      <c r="M37" s="588"/>
    </row>
    <row r="38" spans="1:13" s="589" customFormat="1" ht="12.75">
      <c r="A38" s="584" t="s">
        <v>1530</v>
      </c>
      <c r="B38" s="664" t="s">
        <v>167</v>
      </c>
      <c r="C38" s="585"/>
      <c r="D38" s="586">
        <v>0</v>
      </c>
      <c r="E38" s="587"/>
      <c r="F38" s="586">
        <v>0</v>
      </c>
      <c r="G38" s="587"/>
      <c r="H38" s="586">
        <f>J38-F38</f>
        <v>0</v>
      </c>
      <c r="I38" s="587"/>
      <c r="J38" s="586">
        <v>0</v>
      </c>
      <c r="K38" s="587"/>
      <c r="L38" s="586">
        <v>100000</v>
      </c>
      <c r="M38" s="588"/>
    </row>
    <row r="39" spans="1:13" s="589" customFormat="1" ht="12.75">
      <c r="A39" s="584" t="s">
        <v>1531</v>
      </c>
      <c r="B39" s="664" t="s">
        <v>144</v>
      </c>
      <c r="C39" s="585"/>
      <c r="D39" s="586">
        <v>0</v>
      </c>
      <c r="E39" s="587"/>
      <c r="F39" s="586">
        <v>0</v>
      </c>
      <c r="G39" s="587"/>
      <c r="H39" s="586">
        <f>J39-F39</f>
        <v>0</v>
      </c>
      <c r="I39" s="587"/>
      <c r="J39" s="586">
        <v>0</v>
      </c>
      <c r="K39" s="587"/>
      <c r="L39" s="586">
        <v>50000</v>
      </c>
      <c r="M39" s="588"/>
    </row>
    <row r="40" spans="1:13" s="589" customFormat="1" ht="12.75">
      <c r="A40" s="584" t="s">
        <v>951</v>
      </c>
      <c r="B40" s="664" t="s">
        <v>148</v>
      </c>
      <c r="C40" s="585"/>
      <c r="D40" s="586"/>
      <c r="E40" s="587"/>
      <c r="F40" s="586"/>
      <c r="G40" s="587"/>
      <c r="H40" s="586"/>
      <c r="I40" s="587"/>
      <c r="J40" s="586"/>
      <c r="K40" s="587"/>
      <c r="L40" s="586"/>
      <c r="M40" s="588"/>
    </row>
    <row r="41" spans="1:13" s="589" customFormat="1" ht="12.75">
      <c r="A41" s="584" t="s">
        <v>990</v>
      </c>
      <c r="B41" s="664"/>
      <c r="C41" s="585"/>
      <c r="D41" s="586">
        <v>363141.95</v>
      </c>
      <c r="E41" s="587"/>
      <c r="F41" s="586">
        <v>0</v>
      </c>
      <c r="G41" s="587"/>
      <c r="H41" s="586">
        <f t="shared" ref="H41" si="5">J41-F41</f>
        <v>300000</v>
      </c>
      <c r="I41" s="587"/>
      <c r="J41" s="586">
        <v>300000</v>
      </c>
      <c r="K41" s="587"/>
      <c r="L41" s="586">
        <v>50000</v>
      </c>
      <c r="M41" s="588"/>
    </row>
    <row r="42" spans="1:13" s="589" customFormat="1" ht="12.75">
      <c r="A42" s="584" t="s">
        <v>1479</v>
      </c>
      <c r="B42" s="664"/>
      <c r="C42" s="585"/>
      <c r="D42" s="586"/>
      <c r="E42" s="587"/>
      <c r="F42" s="586"/>
      <c r="G42" s="587"/>
      <c r="H42" s="586"/>
      <c r="I42" s="587"/>
      <c r="J42" s="586"/>
      <c r="K42" s="587"/>
      <c r="L42" s="586"/>
      <c r="M42" s="588"/>
    </row>
    <row r="43" spans="1:13" s="589" customFormat="1" ht="12.75">
      <c r="A43" s="584" t="s">
        <v>949</v>
      </c>
      <c r="B43" s="664" t="s">
        <v>11</v>
      </c>
      <c r="C43" s="585"/>
      <c r="D43" s="586"/>
      <c r="E43" s="587"/>
      <c r="F43" s="586"/>
      <c r="G43" s="587"/>
      <c r="H43" s="586"/>
      <c r="I43" s="587"/>
      <c r="J43" s="586"/>
      <c r="K43" s="587"/>
      <c r="L43" s="586"/>
      <c r="M43" s="588"/>
    </row>
    <row r="44" spans="1:13" s="589" customFormat="1" ht="12.75">
      <c r="A44" s="584" t="s">
        <v>988</v>
      </c>
      <c r="B44" s="664" t="s">
        <v>126</v>
      </c>
      <c r="C44" s="585"/>
      <c r="D44" s="586">
        <v>0</v>
      </c>
      <c r="E44" s="587"/>
      <c r="F44" s="586">
        <v>146250.6</v>
      </c>
      <c r="G44" s="587"/>
      <c r="H44" s="586">
        <f t="shared" ref="H44:H45" si="6">J44-F44</f>
        <v>3749.3999999999942</v>
      </c>
      <c r="I44" s="587"/>
      <c r="J44" s="586">
        <v>150000</v>
      </c>
      <c r="K44" s="587"/>
      <c r="L44" s="586">
        <v>0</v>
      </c>
      <c r="M44" s="588"/>
    </row>
    <row r="45" spans="1:13" s="589" customFormat="1" ht="12.75">
      <c r="A45" s="584" t="s">
        <v>552</v>
      </c>
      <c r="B45" s="664" t="s">
        <v>128</v>
      </c>
      <c r="C45" s="585"/>
      <c r="D45" s="586">
        <v>0</v>
      </c>
      <c r="E45" s="587"/>
      <c r="F45" s="586">
        <v>36920</v>
      </c>
      <c r="G45" s="587"/>
      <c r="H45" s="586">
        <f t="shared" si="6"/>
        <v>13080</v>
      </c>
      <c r="I45" s="587"/>
      <c r="J45" s="586">
        <v>50000</v>
      </c>
      <c r="K45" s="587"/>
      <c r="L45" s="586">
        <v>0</v>
      </c>
      <c r="M45" s="588"/>
    </row>
    <row r="46" spans="1:13" s="589" customFormat="1" ht="12.75">
      <c r="A46" s="584" t="s">
        <v>950</v>
      </c>
      <c r="B46" s="664" t="s">
        <v>174</v>
      </c>
      <c r="C46" s="585"/>
      <c r="D46" s="586">
        <v>0</v>
      </c>
      <c r="E46" s="587"/>
      <c r="F46" s="586">
        <v>100000</v>
      </c>
      <c r="G46" s="587"/>
      <c r="H46" s="586">
        <f>J46-F46</f>
        <v>0</v>
      </c>
      <c r="I46" s="587"/>
      <c r="J46" s="586">
        <v>100000</v>
      </c>
      <c r="K46" s="587"/>
      <c r="L46" s="586">
        <v>0</v>
      </c>
      <c r="M46" s="588"/>
    </row>
    <row r="47" spans="1:13" s="589" customFormat="1" ht="12.75">
      <c r="A47" s="584" t="s">
        <v>951</v>
      </c>
      <c r="B47" s="664" t="s">
        <v>148</v>
      </c>
      <c r="C47" s="585"/>
      <c r="D47" s="586"/>
      <c r="E47" s="587"/>
      <c r="F47" s="586"/>
      <c r="G47" s="587"/>
      <c r="H47" s="586"/>
      <c r="I47" s="587"/>
      <c r="J47" s="586"/>
      <c r="K47" s="587"/>
      <c r="L47" s="586"/>
      <c r="M47" s="588"/>
    </row>
    <row r="48" spans="1:13" s="589" customFormat="1" ht="12.75">
      <c r="A48" s="584" t="s">
        <v>526</v>
      </c>
      <c r="B48" s="664"/>
      <c r="C48" s="585"/>
      <c r="D48" s="586">
        <v>0</v>
      </c>
      <c r="E48" s="587"/>
      <c r="F48" s="586">
        <v>100000</v>
      </c>
      <c r="G48" s="587"/>
      <c r="H48" s="586">
        <f t="shared" ref="H48:H49" si="7">J48-F48</f>
        <v>100000</v>
      </c>
      <c r="I48" s="587"/>
      <c r="J48" s="586">
        <v>200000</v>
      </c>
      <c r="K48" s="587"/>
      <c r="L48" s="586">
        <v>0</v>
      </c>
      <c r="M48" s="588"/>
    </row>
    <row r="49" spans="1:13" s="589" customFormat="1" ht="12.75">
      <c r="A49" s="584" t="s">
        <v>993</v>
      </c>
      <c r="B49" s="664"/>
      <c r="C49" s="585"/>
      <c r="D49" s="586">
        <v>0</v>
      </c>
      <c r="E49" s="587"/>
      <c r="F49" s="586">
        <v>400000</v>
      </c>
      <c r="G49" s="587"/>
      <c r="H49" s="586">
        <f t="shared" si="7"/>
        <v>0</v>
      </c>
      <c r="I49" s="587"/>
      <c r="J49" s="586">
        <v>400000</v>
      </c>
      <c r="K49" s="587"/>
      <c r="L49" s="586">
        <v>0</v>
      </c>
      <c r="M49" s="588"/>
    </row>
    <row r="50" spans="1:13" s="589" customFormat="1" ht="51">
      <c r="A50" s="908" t="s">
        <v>1480</v>
      </c>
      <c r="B50" s="664"/>
      <c r="C50" s="585"/>
      <c r="D50" s="586"/>
      <c r="E50" s="587"/>
      <c r="F50" s="586"/>
      <c r="G50" s="587"/>
      <c r="H50" s="586"/>
      <c r="I50" s="587"/>
      <c r="J50" s="586"/>
      <c r="K50" s="587"/>
      <c r="L50" s="586"/>
      <c r="M50" s="588"/>
    </row>
    <row r="51" spans="1:13" s="589" customFormat="1" ht="12.75">
      <c r="A51" s="584" t="s">
        <v>949</v>
      </c>
      <c r="B51" s="664" t="s">
        <v>11</v>
      </c>
      <c r="C51" s="585"/>
      <c r="D51" s="586"/>
      <c r="E51" s="587"/>
      <c r="F51" s="586"/>
      <c r="G51" s="587"/>
      <c r="H51" s="586"/>
      <c r="I51" s="587"/>
      <c r="J51" s="586"/>
      <c r="K51" s="587"/>
      <c r="L51" s="586"/>
      <c r="M51" s="588"/>
    </row>
    <row r="52" spans="1:13" s="589" customFormat="1" ht="12.75">
      <c r="A52" s="584" t="s">
        <v>988</v>
      </c>
      <c r="B52" s="664" t="s">
        <v>126</v>
      </c>
      <c r="C52" s="585"/>
      <c r="D52" s="586">
        <v>108965</v>
      </c>
      <c r="E52" s="587"/>
      <c r="F52" s="586">
        <v>0</v>
      </c>
      <c r="G52" s="587"/>
      <c r="H52" s="586">
        <f t="shared" ref="H52" si="8">J52-F52</f>
        <v>0</v>
      </c>
      <c r="I52" s="587"/>
      <c r="J52" s="586">
        <v>0</v>
      </c>
      <c r="K52" s="587"/>
      <c r="L52" s="586">
        <v>0</v>
      </c>
      <c r="M52" s="588"/>
    </row>
    <row r="53" spans="1:13" s="589" customFormat="1" ht="12.75">
      <c r="A53" s="584" t="s">
        <v>950</v>
      </c>
      <c r="B53" s="664" t="s">
        <v>174</v>
      </c>
      <c r="C53" s="585"/>
      <c r="D53" s="586">
        <v>10000</v>
      </c>
      <c r="E53" s="587"/>
      <c r="F53" s="586">
        <v>0</v>
      </c>
      <c r="G53" s="587"/>
      <c r="H53" s="586">
        <f>J53-F53</f>
        <v>0</v>
      </c>
      <c r="I53" s="587"/>
      <c r="J53" s="586">
        <v>0</v>
      </c>
      <c r="K53" s="587"/>
      <c r="L53" s="586">
        <v>0</v>
      </c>
      <c r="M53" s="588"/>
    </row>
    <row r="54" spans="1:13" s="589" customFormat="1" ht="12.75">
      <c r="A54" s="584" t="s">
        <v>951</v>
      </c>
      <c r="B54" s="664" t="s">
        <v>148</v>
      </c>
      <c r="C54" s="585"/>
      <c r="D54" s="586"/>
      <c r="E54" s="587"/>
      <c r="F54" s="586"/>
      <c r="G54" s="587"/>
      <c r="H54" s="586"/>
      <c r="I54" s="587"/>
      <c r="J54" s="586"/>
      <c r="K54" s="587"/>
      <c r="L54" s="586"/>
      <c r="M54" s="588"/>
    </row>
    <row r="55" spans="1:13" s="589" customFormat="1" ht="12.75">
      <c r="A55" s="584" t="s">
        <v>1475</v>
      </c>
      <c r="B55" s="664"/>
      <c r="C55" s="585"/>
      <c r="D55" s="586">
        <v>30000</v>
      </c>
      <c r="E55" s="587"/>
      <c r="F55" s="586">
        <v>0</v>
      </c>
      <c r="G55" s="587"/>
      <c r="H55" s="586">
        <f t="shared" ref="H55" si="9">J55-F55</f>
        <v>0</v>
      </c>
      <c r="I55" s="587"/>
      <c r="J55" s="586">
        <v>0</v>
      </c>
      <c r="K55" s="587"/>
      <c r="L55" s="586">
        <v>0</v>
      </c>
      <c r="M55" s="588"/>
    </row>
    <row r="56" spans="1:13" s="589" customFormat="1" ht="12.75">
      <c r="A56" s="908" t="s">
        <v>1516</v>
      </c>
      <c r="B56" s="664"/>
      <c r="C56" s="585"/>
      <c r="D56" s="586"/>
      <c r="E56" s="587"/>
      <c r="F56" s="586"/>
      <c r="G56" s="587"/>
      <c r="H56" s="586"/>
      <c r="I56" s="587"/>
      <c r="J56" s="586"/>
      <c r="K56" s="587"/>
      <c r="L56" s="586"/>
      <c r="M56" s="588"/>
    </row>
    <row r="57" spans="1:13" s="589" customFormat="1" ht="12.75">
      <c r="A57" s="584" t="s">
        <v>949</v>
      </c>
      <c r="B57" s="664" t="s">
        <v>11</v>
      </c>
      <c r="C57" s="585"/>
      <c r="D57" s="586"/>
      <c r="E57" s="587"/>
      <c r="F57" s="586"/>
      <c r="G57" s="587"/>
      <c r="H57" s="586"/>
      <c r="I57" s="587"/>
      <c r="J57" s="586"/>
      <c r="K57" s="587"/>
      <c r="L57" s="586"/>
      <c r="M57" s="588"/>
    </row>
    <row r="58" spans="1:13" s="589" customFormat="1" ht="12.75">
      <c r="A58" s="584" t="s">
        <v>559</v>
      </c>
      <c r="B58" s="664" t="s">
        <v>137</v>
      </c>
      <c r="C58" s="585"/>
      <c r="D58" s="586">
        <v>0</v>
      </c>
      <c r="E58" s="587"/>
      <c r="F58" s="586">
        <v>0</v>
      </c>
      <c r="G58" s="587"/>
      <c r="H58" s="586">
        <f t="shared" ref="H58" si="10">J58-F58</f>
        <v>0</v>
      </c>
      <c r="I58" s="587"/>
      <c r="J58" s="586">
        <v>0</v>
      </c>
      <c r="K58" s="587"/>
      <c r="L58" s="586">
        <v>210000</v>
      </c>
      <c r="M58" s="588"/>
    </row>
    <row r="59" spans="1:13" s="589" customFormat="1" ht="12.75">
      <c r="A59" s="584" t="s">
        <v>950</v>
      </c>
      <c r="B59" s="664" t="s">
        <v>174</v>
      </c>
      <c r="C59" s="585"/>
      <c r="D59" s="586">
        <v>0</v>
      </c>
      <c r="E59" s="587"/>
      <c r="F59" s="586">
        <v>0</v>
      </c>
      <c r="G59" s="587"/>
      <c r="H59" s="586">
        <f>J59-F59</f>
        <v>0</v>
      </c>
      <c r="I59" s="587"/>
      <c r="J59" s="586">
        <v>0</v>
      </c>
      <c r="K59" s="587"/>
      <c r="L59" s="586">
        <v>50000</v>
      </c>
      <c r="M59" s="588"/>
    </row>
    <row r="60" spans="1:13" s="589" customFormat="1" ht="16.5" customHeight="1">
      <c r="A60" s="908" t="s">
        <v>1517</v>
      </c>
      <c r="B60" s="664"/>
      <c r="C60" s="585"/>
      <c r="D60" s="586"/>
      <c r="E60" s="587"/>
      <c r="F60" s="586"/>
      <c r="G60" s="587"/>
      <c r="H60" s="586"/>
      <c r="I60" s="587"/>
      <c r="J60" s="586"/>
      <c r="K60" s="587"/>
      <c r="L60" s="586"/>
      <c r="M60" s="588"/>
    </row>
    <row r="61" spans="1:13" s="589" customFormat="1" ht="12.75">
      <c r="A61" s="584" t="s">
        <v>949</v>
      </c>
      <c r="B61" s="664" t="s">
        <v>11</v>
      </c>
      <c r="C61" s="585"/>
      <c r="D61" s="586"/>
      <c r="E61" s="587"/>
      <c r="F61" s="586"/>
      <c r="G61" s="587"/>
      <c r="H61" s="586"/>
      <c r="I61" s="587"/>
      <c r="J61" s="586"/>
      <c r="K61" s="587"/>
      <c r="L61" s="586"/>
      <c r="M61" s="588"/>
    </row>
    <row r="62" spans="1:13" s="589" customFormat="1" ht="12.75">
      <c r="A62" s="584" t="s">
        <v>1519</v>
      </c>
      <c r="B62" s="664" t="s">
        <v>129</v>
      </c>
      <c r="C62" s="585"/>
      <c r="D62" s="586">
        <v>0</v>
      </c>
      <c r="E62" s="587"/>
      <c r="F62" s="586">
        <v>0</v>
      </c>
      <c r="G62" s="587"/>
      <c r="H62" s="586">
        <f t="shared" ref="H62" si="11">J62-F62</f>
        <v>0</v>
      </c>
      <c r="I62" s="587"/>
      <c r="J62" s="586">
        <v>0</v>
      </c>
      <c r="K62" s="587"/>
      <c r="L62" s="586">
        <v>50000</v>
      </c>
      <c r="M62" s="588"/>
    </row>
    <row r="63" spans="1:13" s="589" customFormat="1" ht="12.75">
      <c r="A63" s="592" t="s">
        <v>951</v>
      </c>
      <c r="B63" s="593" t="s">
        <v>148</v>
      </c>
      <c r="C63" s="594"/>
      <c r="D63" s="595"/>
      <c r="E63" s="596"/>
      <c r="F63" s="595"/>
      <c r="G63" s="596"/>
      <c r="H63" s="595"/>
      <c r="I63" s="596"/>
      <c r="J63" s="595"/>
      <c r="K63" s="596"/>
      <c r="L63" s="595"/>
      <c r="M63" s="588"/>
    </row>
    <row r="64" spans="1:13" s="589" customFormat="1" ht="12.75">
      <c r="A64" s="584" t="s">
        <v>1475</v>
      </c>
      <c r="B64" s="664"/>
      <c r="C64" s="585"/>
      <c r="D64" s="586">
        <v>0</v>
      </c>
      <c r="E64" s="587"/>
      <c r="F64" s="586">
        <v>0</v>
      </c>
      <c r="G64" s="587"/>
      <c r="H64" s="586">
        <f t="shared" ref="H64" si="12">J64-F64</f>
        <v>0</v>
      </c>
      <c r="I64" s="587"/>
      <c r="J64" s="586">
        <v>0</v>
      </c>
      <c r="K64" s="587"/>
      <c r="L64" s="586">
        <v>50000</v>
      </c>
      <c r="M64" s="588"/>
    </row>
    <row r="65" spans="1:13" s="589" customFormat="1" ht="12.75">
      <c r="A65" s="584" t="s">
        <v>969</v>
      </c>
      <c r="B65" s="664" t="s">
        <v>11</v>
      </c>
      <c r="C65" s="585"/>
      <c r="D65" s="586"/>
      <c r="E65" s="587"/>
      <c r="F65" s="586"/>
      <c r="G65" s="587"/>
      <c r="H65" s="586"/>
      <c r="I65" s="587"/>
      <c r="J65" s="586"/>
      <c r="K65" s="587"/>
      <c r="L65" s="586"/>
      <c r="M65" s="588"/>
    </row>
    <row r="66" spans="1:13" s="589" customFormat="1" ht="12.75">
      <c r="A66" s="584" t="s">
        <v>1518</v>
      </c>
      <c r="B66" s="664" t="s">
        <v>151</v>
      </c>
      <c r="C66" s="585"/>
      <c r="D66" s="586"/>
      <c r="E66" s="587"/>
      <c r="F66" s="586"/>
      <c r="G66" s="587"/>
      <c r="H66" s="586"/>
      <c r="I66" s="587"/>
      <c r="J66" s="586"/>
      <c r="K66" s="587"/>
      <c r="L66" s="586"/>
      <c r="M66" s="588"/>
    </row>
    <row r="67" spans="1:13" s="589" customFormat="1" ht="12.75">
      <c r="A67" s="584" t="s">
        <v>1313</v>
      </c>
      <c r="B67" s="664"/>
      <c r="C67" s="585"/>
      <c r="D67" s="586">
        <v>0</v>
      </c>
      <c r="E67" s="587"/>
      <c r="F67" s="586">
        <v>0</v>
      </c>
      <c r="G67" s="587"/>
      <c r="H67" s="586">
        <f>J67-F67</f>
        <v>0</v>
      </c>
      <c r="I67" s="587"/>
      <c r="J67" s="586">
        <v>0</v>
      </c>
      <c r="K67" s="587"/>
      <c r="L67" s="586">
        <v>140000</v>
      </c>
      <c r="M67" s="588"/>
    </row>
    <row r="68" spans="1:13" s="589" customFormat="1" ht="12.75">
      <c r="A68" s="584" t="s">
        <v>1520</v>
      </c>
      <c r="B68" s="664"/>
      <c r="C68" s="585"/>
      <c r="D68" s="586">
        <v>0</v>
      </c>
      <c r="E68" s="587"/>
      <c r="F68" s="586">
        <v>0</v>
      </c>
      <c r="G68" s="587"/>
      <c r="H68" s="586">
        <f>J68-F68</f>
        <v>0</v>
      </c>
      <c r="I68" s="587"/>
      <c r="J68" s="586">
        <v>0</v>
      </c>
      <c r="K68" s="587"/>
      <c r="L68" s="586">
        <v>650000</v>
      </c>
      <c r="M68" s="588"/>
    </row>
    <row r="69" spans="1:13" s="589" customFormat="1" ht="12.75">
      <c r="A69" s="584" t="s">
        <v>1561</v>
      </c>
      <c r="B69" s="664" t="s">
        <v>320</v>
      </c>
      <c r="C69" s="585"/>
      <c r="D69" s="586"/>
      <c r="E69" s="587"/>
      <c r="F69" s="586"/>
      <c r="G69" s="587"/>
      <c r="H69" s="586"/>
      <c r="I69" s="587"/>
      <c r="J69" s="586"/>
      <c r="K69" s="587"/>
      <c r="L69" s="586"/>
      <c r="M69" s="588"/>
    </row>
    <row r="70" spans="1:13" s="589" customFormat="1" ht="12.75">
      <c r="A70" s="584" t="s">
        <v>1521</v>
      </c>
      <c r="B70" s="664"/>
      <c r="C70" s="585"/>
      <c r="D70" s="586">
        <v>0</v>
      </c>
      <c r="E70" s="587"/>
      <c r="F70" s="586">
        <v>0</v>
      </c>
      <c r="G70" s="587"/>
      <c r="H70" s="586">
        <f>J70-F70</f>
        <v>0</v>
      </c>
      <c r="I70" s="587"/>
      <c r="J70" s="586">
        <v>0</v>
      </c>
      <c r="K70" s="587"/>
      <c r="L70" s="586">
        <v>200000</v>
      </c>
      <c r="M70" s="588"/>
    </row>
    <row r="71" spans="1:13" s="589" customFormat="1" ht="16.5" customHeight="1">
      <c r="A71" s="908" t="s">
        <v>1522</v>
      </c>
      <c r="B71" s="664"/>
      <c r="C71" s="585"/>
      <c r="D71" s="586"/>
      <c r="E71" s="587"/>
      <c r="F71" s="586"/>
      <c r="G71" s="587"/>
      <c r="H71" s="586"/>
      <c r="I71" s="587"/>
      <c r="J71" s="586"/>
      <c r="K71" s="587"/>
      <c r="L71" s="586"/>
      <c r="M71" s="588"/>
    </row>
    <row r="72" spans="1:13" s="589" customFormat="1" ht="12.75">
      <c r="A72" s="584" t="s">
        <v>969</v>
      </c>
      <c r="B72" s="664" t="s">
        <v>11</v>
      </c>
      <c r="C72" s="585"/>
      <c r="D72" s="586"/>
      <c r="E72" s="587"/>
      <c r="F72" s="586"/>
      <c r="G72" s="587"/>
      <c r="H72" s="586"/>
      <c r="I72" s="587"/>
      <c r="J72" s="586"/>
      <c r="K72" s="587"/>
      <c r="L72" s="586"/>
      <c r="M72" s="588"/>
    </row>
    <row r="73" spans="1:13" s="589" customFormat="1" ht="12.75">
      <c r="A73" s="584" t="s">
        <v>1561</v>
      </c>
      <c r="B73" s="664" t="s">
        <v>320</v>
      </c>
      <c r="C73" s="585"/>
      <c r="D73" s="586"/>
      <c r="E73" s="587"/>
      <c r="F73" s="586"/>
      <c r="G73" s="587"/>
      <c r="H73" s="586"/>
      <c r="I73" s="587"/>
      <c r="J73" s="586"/>
      <c r="K73" s="587"/>
      <c r="L73" s="586"/>
      <c r="M73" s="588"/>
    </row>
    <row r="74" spans="1:13" s="589" customFormat="1" ht="12.75">
      <c r="A74" s="584" t="s">
        <v>1523</v>
      </c>
      <c r="B74" s="664"/>
      <c r="C74" s="585"/>
      <c r="D74" s="586">
        <v>0</v>
      </c>
      <c r="E74" s="587"/>
      <c r="F74" s="586">
        <v>0</v>
      </c>
      <c r="G74" s="587"/>
      <c r="H74" s="586">
        <f>J74-F74</f>
        <v>0</v>
      </c>
      <c r="I74" s="587"/>
      <c r="J74" s="586">
        <v>0</v>
      </c>
      <c r="K74" s="587"/>
      <c r="L74" s="586">
        <v>1500000</v>
      </c>
      <c r="M74" s="588"/>
    </row>
    <row r="75" spans="1:13" s="589" customFormat="1" ht="16.5" customHeight="1">
      <c r="A75" s="908" t="s">
        <v>1524</v>
      </c>
      <c r="B75" s="664"/>
      <c r="C75" s="585"/>
      <c r="D75" s="586"/>
      <c r="E75" s="587"/>
      <c r="F75" s="586"/>
      <c r="G75" s="587"/>
      <c r="H75" s="586"/>
      <c r="I75" s="587"/>
      <c r="J75" s="586"/>
      <c r="K75" s="587"/>
      <c r="L75" s="586"/>
      <c r="M75" s="588"/>
    </row>
    <row r="76" spans="1:13" s="589" customFormat="1" ht="12.75">
      <c r="A76" s="584" t="s">
        <v>949</v>
      </c>
      <c r="B76" s="664" t="s">
        <v>11</v>
      </c>
      <c r="C76" s="585"/>
      <c r="D76" s="586"/>
      <c r="E76" s="587"/>
      <c r="F76" s="586"/>
      <c r="G76" s="587"/>
      <c r="H76" s="586"/>
      <c r="I76" s="587"/>
      <c r="J76" s="586"/>
      <c r="K76" s="587"/>
      <c r="L76" s="586"/>
      <c r="M76" s="588"/>
    </row>
    <row r="77" spans="1:13" s="589" customFormat="1" ht="12.75">
      <c r="A77" s="584" t="s">
        <v>950</v>
      </c>
      <c r="B77" s="664" t="s">
        <v>174</v>
      </c>
      <c r="C77" s="585"/>
      <c r="D77" s="586">
        <v>0</v>
      </c>
      <c r="E77" s="587"/>
      <c r="F77" s="586">
        <v>0</v>
      </c>
      <c r="G77" s="587"/>
      <c r="H77" s="586">
        <f t="shared" ref="H77" si="13">J77-F77</f>
        <v>0</v>
      </c>
      <c r="I77" s="587"/>
      <c r="J77" s="586">
        <v>0</v>
      </c>
      <c r="K77" s="587"/>
      <c r="L77" s="586">
        <v>200000</v>
      </c>
      <c r="M77" s="588"/>
    </row>
    <row r="78" spans="1:13" s="589" customFormat="1" ht="16.5" customHeight="1">
      <c r="A78" s="908" t="s">
        <v>1525</v>
      </c>
      <c r="B78" s="664"/>
      <c r="C78" s="585"/>
      <c r="D78" s="586"/>
      <c r="E78" s="587"/>
      <c r="F78" s="586"/>
      <c r="G78" s="587"/>
      <c r="H78" s="586"/>
      <c r="I78" s="587"/>
      <c r="J78" s="586"/>
      <c r="K78" s="587"/>
      <c r="L78" s="586"/>
      <c r="M78" s="588"/>
    </row>
    <row r="79" spans="1:13" s="589" customFormat="1" ht="12.75">
      <c r="A79" s="584" t="s">
        <v>949</v>
      </c>
      <c r="B79" s="664" t="s">
        <v>11</v>
      </c>
      <c r="C79" s="585"/>
      <c r="D79" s="586"/>
      <c r="E79" s="587"/>
      <c r="F79" s="586"/>
      <c r="G79" s="587"/>
      <c r="H79" s="586"/>
      <c r="I79" s="587"/>
      <c r="J79" s="586"/>
      <c r="K79" s="587"/>
      <c r="L79" s="586"/>
      <c r="M79" s="588"/>
    </row>
    <row r="80" spans="1:13" s="589" customFormat="1" ht="12.75">
      <c r="A80" s="584" t="s">
        <v>559</v>
      </c>
      <c r="B80" s="664" t="s">
        <v>148</v>
      </c>
      <c r="C80" s="585"/>
      <c r="D80" s="586">
        <v>0</v>
      </c>
      <c r="E80" s="587"/>
      <c r="F80" s="586">
        <v>0</v>
      </c>
      <c r="G80" s="587"/>
      <c r="H80" s="586">
        <f t="shared" ref="H80" si="14">J80-F80</f>
        <v>0</v>
      </c>
      <c r="I80" s="587"/>
      <c r="J80" s="586">
        <v>0</v>
      </c>
      <c r="K80" s="587"/>
      <c r="L80" s="586">
        <v>20000</v>
      </c>
      <c r="M80" s="588"/>
    </row>
    <row r="81" spans="1:13" s="589" customFormat="1" ht="12.75">
      <c r="A81" s="584" t="s">
        <v>951</v>
      </c>
      <c r="B81" s="664" t="s">
        <v>148</v>
      </c>
      <c r="C81" s="585"/>
      <c r="D81" s="586"/>
      <c r="E81" s="587"/>
      <c r="F81" s="586"/>
      <c r="G81" s="587"/>
      <c r="H81" s="586"/>
      <c r="I81" s="587"/>
      <c r="J81" s="586"/>
      <c r="K81" s="587"/>
      <c r="L81" s="586"/>
      <c r="M81" s="588"/>
    </row>
    <row r="82" spans="1:13" s="589" customFormat="1" ht="12.75">
      <c r="A82" s="584" t="s">
        <v>1526</v>
      </c>
      <c r="B82" s="664"/>
      <c r="C82" s="585"/>
      <c r="D82" s="586">
        <v>0</v>
      </c>
      <c r="E82" s="587"/>
      <c r="F82" s="586">
        <v>0</v>
      </c>
      <c r="G82" s="587"/>
      <c r="H82" s="586">
        <f>J82-F82</f>
        <v>0</v>
      </c>
      <c r="I82" s="587"/>
      <c r="J82" s="586">
        <v>0</v>
      </c>
      <c r="K82" s="587"/>
      <c r="L82" s="586">
        <v>50000</v>
      </c>
      <c r="M82" s="588"/>
    </row>
    <row r="83" spans="1:13" s="589" customFormat="1" ht="11.45" customHeight="1">
      <c r="A83" s="908" t="s">
        <v>1562</v>
      </c>
      <c r="B83" s="664"/>
      <c r="C83" s="585"/>
      <c r="D83" s="586"/>
      <c r="E83" s="587"/>
      <c r="F83" s="586"/>
      <c r="G83" s="587"/>
      <c r="H83" s="586"/>
      <c r="I83" s="587"/>
      <c r="J83" s="586"/>
      <c r="K83" s="587"/>
      <c r="L83" s="586"/>
      <c r="M83" s="588"/>
    </row>
    <row r="84" spans="1:13" s="589" customFormat="1" ht="12.75">
      <c r="A84" s="584" t="s">
        <v>969</v>
      </c>
      <c r="B84" s="664" t="s">
        <v>11</v>
      </c>
      <c r="C84" s="585"/>
      <c r="D84" s="586"/>
      <c r="E84" s="587"/>
      <c r="F84" s="586"/>
      <c r="G84" s="587"/>
      <c r="H84" s="586"/>
      <c r="I84" s="587"/>
      <c r="J84" s="586"/>
      <c r="K84" s="587"/>
      <c r="L84" s="586"/>
      <c r="M84" s="588"/>
    </row>
    <row r="85" spans="1:13" s="589" customFormat="1" ht="12.75">
      <c r="A85" s="584" t="s">
        <v>1527</v>
      </c>
      <c r="B85" s="664" t="s">
        <v>996</v>
      </c>
      <c r="C85" s="585"/>
      <c r="D85" s="586"/>
      <c r="E85" s="587"/>
      <c r="F85" s="586"/>
      <c r="G85" s="587"/>
      <c r="H85" s="586"/>
      <c r="I85" s="587"/>
      <c r="J85" s="586"/>
      <c r="K85" s="587"/>
      <c r="L85" s="586"/>
      <c r="M85" s="588"/>
    </row>
    <row r="86" spans="1:13" s="589" customFormat="1" ht="12.75">
      <c r="A86" s="584" t="s">
        <v>1528</v>
      </c>
      <c r="B86" s="664"/>
      <c r="C86" s="585"/>
      <c r="D86" s="586">
        <v>0</v>
      </c>
      <c r="E86" s="587"/>
      <c r="F86" s="586">
        <v>0</v>
      </c>
      <c r="G86" s="587"/>
      <c r="H86" s="586">
        <f>J86-F86</f>
        <v>0</v>
      </c>
      <c r="I86" s="587"/>
      <c r="J86" s="586">
        <v>0</v>
      </c>
      <c r="K86" s="587"/>
      <c r="L86" s="586">
        <v>50000</v>
      </c>
      <c r="M86" s="588"/>
    </row>
    <row r="87" spans="1:13" s="589" customFormat="1" ht="13.5" customHeight="1">
      <c r="A87" s="584" t="s">
        <v>936</v>
      </c>
      <c r="B87" s="664"/>
      <c r="C87" s="585"/>
      <c r="D87" s="586"/>
      <c r="E87" s="587"/>
      <c r="F87" s="586"/>
      <c r="G87" s="587"/>
      <c r="H87" s="586"/>
      <c r="I87" s="587"/>
      <c r="J87" s="586"/>
      <c r="K87" s="587"/>
      <c r="L87" s="586"/>
      <c r="M87" s="588"/>
    </row>
    <row r="88" spans="1:13" s="589" customFormat="1" ht="12.95" customHeight="1">
      <c r="A88" s="584" t="s">
        <v>1296</v>
      </c>
      <c r="B88" s="665"/>
      <c r="C88" s="585"/>
      <c r="D88" s="586"/>
      <c r="E88" s="587"/>
      <c r="F88" s="586"/>
      <c r="G88" s="587"/>
      <c r="H88" s="586"/>
      <c r="I88" s="587"/>
      <c r="J88" s="586"/>
      <c r="K88" s="587"/>
      <c r="L88" s="586"/>
      <c r="M88" s="588"/>
    </row>
    <row r="89" spans="1:13" s="589" customFormat="1" ht="12.95" customHeight="1">
      <c r="A89" s="584" t="s">
        <v>937</v>
      </c>
      <c r="B89" s="665"/>
      <c r="C89" s="585"/>
      <c r="D89" s="586"/>
      <c r="E89" s="587"/>
      <c r="F89" s="586"/>
      <c r="G89" s="587"/>
      <c r="H89" s="586"/>
      <c r="I89" s="587"/>
      <c r="J89" s="586"/>
      <c r="K89" s="587"/>
      <c r="L89" s="586"/>
      <c r="M89" s="588"/>
    </row>
    <row r="90" spans="1:13" s="589" customFormat="1" ht="12.95" customHeight="1">
      <c r="A90" s="584" t="s">
        <v>1297</v>
      </c>
      <c r="B90" s="665"/>
      <c r="C90" s="585"/>
      <c r="D90" s="586"/>
      <c r="E90" s="587"/>
      <c r="F90" s="586"/>
      <c r="G90" s="587"/>
      <c r="H90" s="586"/>
      <c r="I90" s="587"/>
      <c r="J90" s="586"/>
      <c r="K90" s="587"/>
      <c r="L90" s="586"/>
      <c r="M90" s="588"/>
    </row>
    <row r="91" spans="1:13" s="589" customFormat="1" ht="12.95" customHeight="1">
      <c r="A91" s="584" t="s">
        <v>952</v>
      </c>
      <c r="B91" s="665"/>
      <c r="C91" s="585"/>
      <c r="D91" s="586"/>
      <c r="E91" s="587"/>
      <c r="F91" s="586"/>
      <c r="G91" s="587"/>
      <c r="H91" s="586"/>
      <c r="I91" s="587"/>
      <c r="J91" s="586"/>
      <c r="K91" s="587"/>
      <c r="L91" s="586"/>
      <c r="M91" s="588"/>
    </row>
    <row r="92" spans="1:13" s="589" customFormat="1" ht="12.95" customHeight="1">
      <c r="A92" s="584" t="s">
        <v>700</v>
      </c>
      <c r="B92" s="665" t="s">
        <v>126</v>
      </c>
      <c r="C92" s="585"/>
      <c r="D92" s="586">
        <v>67400</v>
      </c>
      <c r="E92" s="587"/>
      <c r="F92" s="586">
        <v>0</v>
      </c>
      <c r="G92" s="587"/>
      <c r="H92" s="586">
        <f t="shared" ref="H92" si="15">J92-F92</f>
        <v>0</v>
      </c>
      <c r="I92" s="587"/>
      <c r="J92" s="586">
        <v>0</v>
      </c>
      <c r="K92" s="587"/>
      <c r="L92" s="586">
        <v>0</v>
      </c>
      <c r="M92" s="588"/>
    </row>
    <row r="93" spans="1:13" s="589" customFormat="1" ht="12.95" customHeight="1">
      <c r="A93" s="584" t="s">
        <v>954</v>
      </c>
      <c r="B93" s="665" t="s">
        <v>148</v>
      </c>
      <c r="C93" s="585"/>
      <c r="D93" s="586"/>
      <c r="E93" s="587"/>
      <c r="F93" s="586"/>
      <c r="G93" s="587"/>
      <c r="H93" s="586"/>
      <c r="I93" s="587"/>
      <c r="J93" s="586"/>
      <c r="K93" s="587"/>
      <c r="L93" s="586"/>
      <c r="M93" s="588"/>
    </row>
    <row r="94" spans="1:13" s="589" customFormat="1" ht="12.95" customHeight="1">
      <c r="A94" s="584" t="s">
        <v>955</v>
      </c>
      <c r="B94" s="665"/>
      <c r="C94" s="585"/>
      <c r="D94" s="586">
        <v>19000</v>
      </c>
      <c r="E94" s="587"/>
      <c r="F94" s="586">
        <v>0</v>
      </c>
      <c r="G94" s="587"/>
      <c r="H94" s="586">
        <f t="shared" ref="H94" si="16">J94-F94</f>
        <v>0</v>
      </c>
      <c r="I94" s="587"/>
      <c r="J94" s="586">
        <v>0</v>
      </c>
      <c r="K94" s="587"/>
      <c r="L94" s="586">
        <v>0</v>
      </c>
      <c r="M94" s="588"/>
    </row>
    <row r="95" spans="1:13" s="589" customFormat="1" ht="12.95" customHeight="1">
      <c r="A95" s="584" t="s">
        <v>1481</v>
      </c>
      <c r="B95" s="665"/>
      <c r="C95" s="585"/>
      <c r="D95" s="586"/>
      <c r="E95" s="587"/>
      <c r="F95" s="586"/>
      <c r="G95" s="587"/>
      <c r="H95" s="586"/>
      <c r="I95" s="587"/>
      <c r="J95" s="586"/>
      <c r="K95" s="587"/>
      <c r="L95" s="586"/>
      <c r="M95" s="588"/>
    </row>
    <row r="96" spans="1:13" s="589" customFormat="1" ht="12.95" customHeight="1">
      <c r="A96" s="584" t="s">
        <v>952</v>
      </c>
      <c r="B96" s="665"/>
      <c r="C96" s="585"/>
      <c r="D96" s="586"/>
      <c r="E96" s="587"/>
      <c r="F96" s="586"/>
      <c r="G96" s="587"/>
      <c r="H96" s="586"/>
      <c r="I96" s="587"/>
      <c r="J96" s="586"/>
      <c r="K96" s="587"/>
      <c r="L96" s="586"/>
      <c r="M96" s="588"/>
    </row>
    <row r="97" spans="1:13" s="589" customFormat="1" ht="12.95" customHeight="1">
      <c r="A97" s="584" t="s">
        <v>700</v>
      </c>
      <c r="B97" s="665" t="s">
        <v>126</v>
      </c>
      <c r="C97" s="585"/>
      <c r="D97" s="586">
        <v>0</v>
      </c>
      <c r="E97" s="587"/>
      <c r="F97" s="586">
        <v>30000</v>
      </c>
      <c r="G97" s="587"/>
      <c r="H97" s="586">
        <f t="shared" ref="H97:H99" si="17">J97-F97</f>
        <v>0</v>
      </c>
      <c r="I97" s="587"/>
      <c r="J97" s="586">
        <v>30000</v>
      </c>
      <c r="K97" s="587"/>
      <c r="L97" s="586">
        <v>0</v>
      </c>
      <c r="M97" s="588"/>
    </row>
    <row r="98" spans="1:13" s="589" customFormat="1" ht="12.95" customHeight="1">
      <c r="A98" s="584" t="s">
        <v>953</v>
      </c>
      <c r="B98" s="665" t="s">
        <v>129</v>
      </c>
      <c r="C98" s="585"/>
      <c r="D98" s="586">
        <v>0</v>
      </c>
      <c r="E98" s="587"/>
      <c r="F98" s="586">
        <v>0</v>
      </c>
      <c r="G98" s="587"/>
      <c r="H98" s="586">
        <f t="shared" si="17"/>
        <v>5000</v>
      </c>
      <c r="I98" s="587"/>
      <c r="J98" s="586">
        <v>5000</v>
      </c>
      <c r="K98" s="587"/>
      <c r="L98" s="586">
        <v>0</v>
      </c>
      <c r="M98" s="588"/>
    </row>
    <row r="99" spans="1:13" s="589" customFormat="1" ht="12.95" customHeight="1">
      <c r="A99" s="584" t="s">
        <v>812</v>
      </c>
      <c r="B99" s="665" t="s">
        <v>174</v>
      </c>
      <c r="C99" s="585"/>
      <c r="D99" s="586">
        <v>0</v>
      </c>
      <c r="E99" s="587"/>
      <c r="F99" s="586">
        <v>50000</v>
      </c>
      <c r="G99" s="587"/>
      <c r="H99" s="586">
        <f t="shared" si="17"/>
        <v>0</v>
      </c>
      <c r="I99" s="587"/>
      <c r="J99" s="586">
        <v>50000</v>
      </c>
      <c r="K99" s="587"/>
      <c r="L99" s="586">
        <v>0</v>
      </c>
      <c r="M99" s="588"/>
    </row>
    <row r="100" spans="1:13" s="589" customFormat="1" ht="12.95" customHeight="1">
      <c r="A100" s="584" t="s">
        <v>954</v>
      </c>
      <c r="B100" s="665" t="s">
        <v>148</v>
      </c>
      <c r="C100" s="585"/>
      <c r="D100" s="586"/>
      <c r="E100" s="587"/>
      <c r="F100" s="586"/>
      <c r="G100" s="587"/>
      <c r="H100" s="586"/>
      <c r="I100" s="587"/>
      <c r="J100" s="586"/>
      <c r="K100" s="587"/>
      <c r="L100" s="586"/>
      <c r="M100" s="588"/>
    </row>
    <row r="101" spans="1:13" s="589" customFormat="1" ht="12.95" customHeight="1">
      <c r="A101" s="584" t="s">
        <v>1293</v>
      </c>
      <c r="B101" s="665"/>
      <c r="C101" s="585"/>
      <c r="D101" s="586">
        <v>0</v>
      </c>
      <c r="E101" s="587"/>
      <c r="F101" s="586">
        <v>135000</v>
      </c>
      <c r="G101" s="587"/>
      <c r="H101" s="586">
        <f t="shared" ref="H101:H102" si="18">J101-F101</f>
        <v>0</v>
      </c>
      <c r="I101" s="587"/>
      <c r="J101" s="586">
        <v>135000</v>
      </c>
      <c r="K101" s="587"/>
      <c r="L101" s="586">
        <v>0</v>
      </c>
      <c r="M101" s="588"/>
    </row>
    <row r="102" spans="1:13" s="589" customFormat="1" ht="12.95" customHeight="1">
      <c r="A102" s="584" t="s">
        <v>1294</v>
      </c>
      <c r="B102" s="665"/>
      <c r="C102" s="585"/>
      <c r="D102" s="586">
        <v>0</v>
      </c>
      <c r="E102" s="587"/>
      <c r="F102" s="586">
        <v>30000</v>
      </c>
      <c r="G102" s="587"/>
      <c r="H102" s="586">
        <f t="shared" si="18"/>
        <v>0</v>
      </c>
      <c r="I102" s="587"/>
      <c r="J102" s="586">
        <v>30000</v>
      </c>
      <c r="K102" s="587"/>
      <c r="L102" s="586">
        <v>0</v>
      </c>
      <c r="M102" s="588"/>
    </row>
    <row r="103" spans="1:13" s="589" customFormat="1" ht="12.95" customHeight="1">
      <c r="A103" s="584" t="s">
        <v>1482</v>
      </c>
      <c r="B103" s="665"/>
      <c r="C103" s="585"/>
      <c r="D103" s="586"/>
      <c r="E103" s="587"/>
      <c r="F103" s="586"/>
      <c r="G103" s="587"/>
      <c r="H103" s="586"/>
      <c r="I103" s="587"/>
      <c r="J103" s="586"/>
      <c r="K103" s="587"/>
      <c r="L103" s="586"/>
      <c r="M103" s="588"/>
    </row>
    <row r="104" spans="1:13" s="589" customFormat="1" ht="12.95" customHeight="1">
      <c r="A104" s="584" t="s">
        <v>952</v>
      </c>
      <c r="B104" s="665"/>
      <c r="C104" s="585"/>
      <c r="D104" s="586"/>
      <c r="E104" s="587"/>
      <c r="F104" s="586"/>
      <c r="G104" s="587"/>
      <c r="H104" s="586"/>
      <c r="I104" s="587"/>
      <c r="J104" s="586"/>
      <c r="K104" s="587"/>
      <c r="L104" s="586"/>
      <c r="M104" s="588"/>
    </row>
    <row r="105" spans="1:13" s="589" customFormat="1" ht="12.95" customHeight="1">
      <c r="A105" s="584" t="s">
        <v>700</v>
      </c>
      <c r="B105" s="665" t="s">
        <v>126</v>
      </c>
      <c r="C105" s="585"/>
      <c r="D105" s="586">
        <v>5600</v>
      </c>
      <c r="E105" s="587"/>
      <c r="F105" s="586">
        <v>0</v>
      </c>
      <c r="G105" s="587"/>
      <c r="H105" s="586">
        <f t="shared" ref="H105:H107" si="19">J105-F105</f>
        <v>0</v>
      </c>
      <c r="I105" s="587"/>
      <c r="J105" s="586">
        <v>0</v>
      </c>
      <c r="K105" s="587"/>
      <c r="L105" s="586">
        <v>0</v>
      </c>
      <c r="M105" s="588"/>
    </row>
    <row r="106" spans="1:13" s="589" customFormat="1" ht="12.95" customHeight="1">
      <c r="A106" s="584" t="s">
        <v>953</v>
      </c>
      <c r="B106" s="665" t="s">
        <v>129</v>
      </c>
      <c r="C106" s="585"/>
      <c r="D106" s="586">
        <v>2850</v>
      </c>
      <c r="E106" s="587"/>
      <c r="F106" s="586">
        <v>0</v>
      </c>
      <c r="G106" s="587"/>
      <c r="H106" s="586">
        <f t="shared" si="19"/>
        <v>0</v>
      </c>
      <c r="I106" s="587"/>
      <c r="J106" s="586">
        <v>0</v>
      </c>
      <c r="K106" s="587"/>
      <c r="L106" s="586">
        <v>0</v>
      </c>
      <c r="M106" s="588"/>
    </row>
    <row r="107" spans="1:13" s="589" customFormat="1" ht="12.95" customHeight="1">
      <c r="A107" s="584" t="s">
        <v>812</v>
      </c>
      <c r="B107" s="665" t="s">
        <v>174</v>
      </c>
      <c r="C107" s="585"/>
      <c r="D107" s="586">
        <v>19000</v>
      </c>
      <c r="E107" s="587"/>
      <c r="F107" s="586">
        <v>0</v>
      </c>
      <c r="G107" s="587"/>
      <c r="H107" s="586">
        <f t="shared" si="19"/>
        <v>0</v>
      </c>
      <c r="I107" s="587"/>
      <c r="J107" s="586">
        <v>0</v>
      </c>
      <c r="K107" s="587"/>
      <c r="L107" s="586">
        <v>0</v>
      </c>
      <c r="M107" s="588"/>
    </row>
    <row r="108" spans="1:13" s="589" customFormat="1" ht="12.95" customHeight="1">
      <c r="A108" s="584" t="s">
        <v>954</v>
      </c>
      <c r="B108" s="665" t="s">
        <v>148</v>
      </c>
      <c r="C108" s="585"/>
      <c r="D108" s="586"/>
      <c r="E108" s="587"/>
      <c r="F108" s="586"/>
      <c r="G108" s="587"/>
      <c r="H108" s="586"/>
      <c r="I108" s="587"/>
      <c r="J108" s="586"/>
      <c r="K108" s="587"/>
      <c r="L108" s="586"/>
      <c r="M108" s="588"/>
    </row>
    <row r="109" spans="1:13" s="589" customFormat="1" ht="12.95" customHeight="1">
      <c r="A109" s="584" t="s">
        <v>1293</v>
      </c>
      <c r="B109" s="665"/>
      <c r="C109" s="585"/>
      <c r="D109" s="586">
        <v>28050</v>
      </c>
      <c r="E109" s="587"/>
      <c r="F109" s="586">
        <v>0</v>
      </c>
      <c r="G109" s="587"/>
      <c r="H109" s="586">
        <f t="shared" ref="H109:H111" si="20">J109-F109</f>
        <v>0</v>
      </c>
      <c r="I109" s="587"/>
      <c r="J109" s="586">
        <v>0</v>
      </c>
      <c r="K109" s="587"/>
      <c r="L109" s="586">
        <v>0</v>
      </c>
      <c r="M109" s="588"/>
    </row>
    <row r="110" spans="1:13" s="589" customFormat="1" ht="12.95" customHeight="1">
      <c r="A110" s="584" t="s">
        <v>1294</v>
      </c>
      <c r="B110" s="665"/>
      <c r="C110" s="585"/>
      <c r="D110" s="586">
        <v>2745</v>
      </c>
      <c r="E110" s="587"/>
      <c r="F110" s="586">
        <v>0</v>
      </c>
      <c r="G110" s="587"/>
      <c r="H110" s="586">
        <f t="shared" si="20"/>
        <v>0</v>
      </c>
      <c r="I110" s="587"/>
      <c r="J110" s="586">
        <v>0</v>
      </c>
      <c r="K110" s="587"/>
      <c r="L110" s="586">
        <v>0</v>
      </c>
      <c r="M110" s="588"/>
    </row>
    <row r="111" spans="1:13" s="589" customFormat="1" ht="12.95" customHeight="1">
      <c r="A111" s="584" t="s">
        <v>1484</v>
      </c>
      <c r="B111" s="665"/>
      <c r="C111" s="585"/>
      <c r="D111" s="586">
        <v>20000</v>
      </c>
      <c r="E111" s="587"/>
      <c r="F111" s="586">
        <v>0</v>
      </c>
      <c r="G111" s="587"/>
      <c r="H111" s="586">
        <f t="shared" si="20"/>
        <v>0</v>
      </c>
      <c r="I111" s="587"/>
      <c r="J111" s="586">
        <v>0</v>
      </c>
      <c r="K111" s="587"/>
      <c r="L111" s="586">
        <v>0</v>
      </c>
      <c r="M111" s="588"/>
    </row>
    <row r="112" spans="1:13" s="589" customFormat="1" ht="12.95" customHeight="1">
      <c r="A112" s="584" t="s">
        <v>1485</v>
      </c>
      <c r="B112" s="665"/>
      <c r="C112" s="585"/>
      <c r="D112" s="586"/>
      <c r="E112" s="587"/>
      <c r="F112" s="586"/>
      <c r="G112" s="587"/>
      <c r="H112" s="586"/>
      <c r="I112" s="587"/>
      <c r="J112" s="586"/>
      <c r="K112" s="587"/>
      <c r="L112" s="586"/>
      <c r="M112" s="588"/>
    </row>
    <row r="113" spans="1:13" s="589" customFormat="1" ht="12.95" customHeight="1">
      <c r="A113" s="584" t="s">
        <v>952</v>
      </c>
      <c r="B113" s="665"/>
      <c r="C113" s="585"/>
      <c r="D113" s="586"/>
      <c r="E113" s="587"/>
      <c r="F113" s="586"/>
      <c r="G113" s="587"/>
      <c r="H113" s="586"/>
      <c r="I113" s="587"/>
      <c r="J113" s="586"/>
      <c r="K113" s="587"/>
      <c r="L113" s="586"/>
      <c r="M113" s="588"/>
    </row>
    <row r="114" spans="1:13" s="589" customFormat="1" ht="12.95" customHeight="1">
      <c r="A114" s="584" t="s">
        <v>700</v>
      </c>
      <c r="B114" s="665" t="s">
        <v>126</v>
      </c>
      <c r="C114" s="585"/>
      <c r="D114" s="586">
        <v>5000</v>
      </c>
      <c r="E114" s="587"/>
      <c r="F114" s="586">
        <v>0</v>
      </c>
      <c r="G114" s="587"/>
      <c r="H114" s="586">
        <f t="shared" ref="H114:H116" si="21">J114-F114</f>
        <v>0</v>
      </c>
      <c r="I114" s="587"/>
      <c r="J114" s="586">
        <v>0</v>
      </c>
      <c r="K114" s="587"/>
      <c r="L114" s="586">
        <v>0</v>
      </c>
      <c r="M114" s="588"/>
    </row>
    <row r="115" spans="1:13" s="589" customFormat="1" ht="12.95" customHeight="1">
      <c r="A115" s="584" t="s">
        <v>953</v>
      </c>
      <c r="B115" s="665" t="s">
        <v>129</v>
      </c>
      <c r="C115" s="585"/>
      <c r="D115" s="586">
        <v>5000</v>
      </c>
      <c r="E115" s="587"/>
      <c r="F115" s="586">
        <v>0</v>
      </c>
      <c r="G115" s="587"/>
      <c r="H115" s="586">
        <f t="shared" si="21"/>
        <v>0</v>
      </c>
      <c r="I115" s="587"/>
      <c r="J115" s="586">
        <v>0</v>
      </c>
      <c r="K115" s="587"/>
      <c r="L115" s="586">
        <v>0</v>
      </c>
      <c r="M115" s="588"/>
    </row>
    <row r="116" spans="1:13" s="589" customFormat="1" ht="12.95" customHeight="1">
      <c r="A116" s="592" t="s">
        <v>812</v>
      </c>
      <c r="B116" s="666" t="s">
        <v>174</v>
      </c>
      <c r="C116" s="594"/>
      <c r="D116" s="595">
        <v>33800</v>
      </c>
      <c r="E116" s="596"/>
      <c r="F116" s="595">
        <v>0</v>
      </c>
      <c r="G116" s="596"/>
      <c r="H116" s="595">
        <f t="shared" si="21"/>
        <v>0</v>
      </c>
      <c r="I116" s="596"/>
      <c r="J116" s="595">
        <v>0</v>
      </c>
      <c r="K116" s="596"/>
      <c r="L116" s="595">
        <v>0</v>
      </c>
      <c r="M116" s="588"/>
    </row>
    <row r="117" spans="1:13" s="589" customFormat="1" ht="12.95" customHeight="1">
      <c r="A117" s="584" t="s">
        <v>954</v>
      </c>
      <c r="B117" s="665" t="s">
        <v>148</v>
      </c>
      <c r="C117" s="585"/>
      <c r="D117" s="586"/>
      <c r="E117" s="587"/>
      <c r="F117" s="586"/>
      <c r="G117" s="587"/>
      <c r="H117" s="586"/>
      <c r="I117" s="587"/>
      <c r="J117" s="586"/>
      <c r="K117" s="587"/>
      <c r="L117" s="586"/>
      <c r="M117" s="588"/>
    </row>
    <row r="118" spans="1:13" s="589" customFormat="1" ht="12.95" customHeight="1">
      <c r="A118" s="584" t="s">
        <v>1293</v>
      </c>
      <c r="B118" s="665"/>
      <c r="C118" s="585"/>
      <c r="D118" s="586">
        <v>30000</v>
      </c>
      <c r="E118" s="587"/>
      <c r="F118" s="586">
        <v>0</v>
      </c>
      <c r="G118" s="587"/>
      <c r="H118" s="586">
        <f t="shared" ref="H118:H120" si="22">J118-F118</f>
        <v>0</v>
      </c>
      <c r="I118" s="587"/>
      <c r="J118" s="586">
        <v>0</v>
      </c>
      <c r="K118" s="587"/>
      <c r="L118" s="586">
        <v>0</v>
      </c>
      <c r="M118" s="588"/>
    </row>
    <row r="119" spans="1:13" s="589" customFormat="1" ht="12.95" customHeight="1">
      <c r="A119" s="584" t="s">
        <v>1294</v>
      </c>
      <c r="B119" s="665"/>
      <c r="C119" s="585"/>
      <c r="D119" s="586">
        <v>6000</v>
      </c>
      <c r="E119" s="587"/>
      <c r="F119" s="586">
        <v>0</v>
      </c>
      <c r="G119" s="587"/>
      <c r="H119" s="586">
        <f t="shared" si="22"/>
        <v>0</v>
      </c>
      <c r="I119" s="587"/>
      <c r="J119" s="586">
        <v>0</v>
      </c>
      <c r="K119" s="587"/>
      <c r="L119" s="586">
        <v>0</v>
      </c>
      <c r="M119" s="588"/>
    </row>
    <row r="120" spans="1:13" s="589" customFormat="1" ht="12.95" customHeight="1">
      <c r="A120" s="584" t="s">
        <v>1484</v>
      </c>
      <c r="B120" s="665"/>
      <c r="C120" s="585"/>
      <c r="D120" s="586">
        <v>17605</v>
      </c>
      <c r="E120" s="587"/>
      <c r="F120" s="586">
        <v>0</v>
      </c>
      <c r="G120" s="587"/>
      <c r="H120" s="586">
        <f t="shared" si="22"/>
        <v>0</v>
      </c>
      <c r="I120" s="587"/>
      <c r="J120" s="586">
        <v>0</v>
      </c>
      <c r="K120" s="587"/>
      <c r="L120" s="586">
        <v>0</v>
      </c>
      <c r="M120" s="588"/>
    </row>
    <row r="121" spans="1:13" s="589" customFormat="1" ht="12.95" customHeight="1">
      <c r="A121" s="584" t="s">
        <v>1486</v>
      </c>
      <c r="B121" s="665"/>
      <c r="C121" s="585"/>
      <c r="D121" s="586"/>
      <c r="E121" s="587"/>
      <c r="F121" s="586"/>
      <c r="G121" s="587"/>
      <c r="H121" s="586"/>
      <c r="I121" s="587"/>
      <c r="J121" s="586"/>
      <c r="K121" s="587"/>
      <c r="L121" s="586"/>
      <c r="M121" s="588"/>
    </row>
    <row r="122" spans="1:13" s="589" customFormat="1" ht="12.95" customHeight="1">
      <c r="A122" s="584" t="s">
        <v>952</v>
      </c>
      <c r="B122" s="665"/>
      <c r="C122" s="585"/>
      <c r="D122" s="586"/>
      <c r="E122" s="587"/>
      <c r="F122" s="586"/>
      <c r="G122" s="587"/>
      <c r="H122" s="586"/>
      <c r="I122" s="587"/>
      <c r="J122" s="586"/>
      <c r="K122" s="587"/>
      <c r="L122" s="586"/>
      <c r="M122" s="588"/>
    </row>
    <row r="123" spans="1:13" s="589" customFormat="1" ht="12.95" customHeight="1">
      <c r="A123" s="584" t="s">
        <v>700</v>
      </c>
      <c r="B123" s="665" t="s">
        <v>126</v>
      </c>
      <c r="C123" s="585"/>
      <c r="D123" s="586">
        <v>50000</v>
      </c>
      <c r="E123" s="587"/>
      <c r="F123" s="586">
        <v>0</v>
      </c>
      <c r="G123" s="587"/>
      <c r="H123" s="586">
        <f t="shared" ref="H123:H125" si="23">J123-F123</f>
        <v>0</v>
      </c>
      <c r="I123" s="587"/>
      <c r="J123" s="586">
        <v>0</v>
      </c>
      <c r="K123" s="587"/>
      <c r="L123" s="586">
        <v>0</v>
      </c>
      <c r="M123" s="588"/>
    </row>
    <row r="124" spans="1:13" s="589" customFormat="1" ht="12.95" customHeight="1">
      <c r="A124" s="584" t="s">
        <v>953</v>
      </c>
      <c r="B124" s="665" t="s">
        <v>129</v>
      </c>
      <c r="C124" s="585"/>
      <c r="D124" s="586">
        <v>5000</v>
      </c>
      <c r="E124" s="587"/>
      <c r="F124" s="586">
        <v>0</v>
      </c>
      <c r="G124" s="587"/>
      <c r="H124" s="586">
        <f t="shared" si="23"/>
        <v>0</v>
      </c>
      <c r="I124" s="587"/>
      <c r="J124" s="586">
        <v>0</v>
      </c>
      <c r="K124" s="587"/>
      <c r="L124" s="586">
        <v>0</v>
      </c>
      <c r="M124" s="588"/>
    </row>
    <row r="125" spans="1:13" s="589" customFormat="1" ht="12.95" customHeight="1">
      <c r="A125" s="584" t="s">
        <v>812</v>
      </c>
      <c r="B125" s="665" t="s">
        <v>174</v>
      </c>
      <c r="C125" s="585"/>
      <c r="D125" s="586">
        <v>20000</v>
      </c>
      <c r="E125" s="587"/>
      <c r="F125" s="586">
        <v>0</v>
      </c>
      <c r="G125" s="587"/>
      <c r="H125" s="586">
        <f t="shared" si="23"/>
        <v>0</v>
      </c>
      <c r="I125" s="587"/>
      <c r="J125" s="586">
        <v>0</v>
      </c>
      <c r="K125" s="587"/>
      <c r="L125" s="586">
        <v>0</v>
      </c>
      <c r="M125" s="588"/>
    </row>
    <row r="126" spans="1:13" s="589" customFormat="1" ht="12.95" customHeight="1">
      <c r="A126" s="584" t="s">
        <v>954</v>
      </c>
      <c r="B126" s="665" t="s">
        <v>148</v>
      </c>
      <c r="C126" s="585"/>
      <c r="D126" s="586"/>
      <c r="E126" s="587"/>
      <c r="F126" s="586"/>
      <c r="G126" s="587"/>
      <c r="H126" s="586"/>
      <c r="I126" s="587"/>
      <c r="J126" s="586"/>
      <c r="K126" s="587"/>
      <c r="L126" s="586"/>
      <c r="M126" s="588"/>
    </row>
    <row r="127" spans="1:13" s="589" customFormat="1" ht="12.95" customHeight="1">
      <c r="A127" s="584" t="s">
        <v>1293</v>
      </c>
      <c r="B127" s="665"/>
      <c r="C127" s="585"/>
      <c r="D127" s="586">
        <v>170000</v>
      </c>
      <c r="E127" s="587"/>
      <c r="F127" s="586">
        <v>0</v>
      </c>
      <c r="G127" s="587"/>
      <c r="H127" s="586">
        <f t="shared" ref="H127:H128" si="24">J127-F127</f>
        <v>0</v>
      </c>
      <c r="I127" s="587"/>
      <c r="J127" s="586">
        <v>0</v>
      </c>
      <c r="K127" s="587"/>
      <c r="L127" s="586">
        <v>0</v>
      </c>
      <c r="M127" s="588"/>
    </row>
    <row r="128" spans="1:13" s="589" customFormat="1" ht="12.95" customHeight="1">
      <c r="A128" s="584" t="s">
        <v>1294</v>
      </c>
      <c r="B128" s="665"/>
      <c r="C128" s="585"/>
      <c r="D128" s="586">
        <v>45000</v>
      </c>
      <c r="E128" s="587"/>
      <c r="F128" s="586">
        <v>0</v>
      </c>
      <c r="G128" s="587"/>
      <c r="H128" s="586">
        <f t="shared" si="24"/>
        <v>0</v>
      </c>
      <c r="I128" s="587"/>
      <c r="J128" s="586">
        <v>0</v>
      </c>
      <c r="K128" s="587"/>
      <c r="L128" s="586">
        <v>0</v>
      </c>
      <c r="M128" s="588"/>
    </row>
    <row r="129" spans="1:13" s="589" customFormat="1" ht="24" customHeight="1">
      <c r="A129" s="908" t="s">
        <v>1487</v>
      </c>
      <c r="B129" s="665"/>
      <c r="C129" s="585"/>
      <c r="D129" s="586"/>
      <c r="E129" s="587"/>
      <c r="F129" s="586"/>
      <c r="G129" s="587"/>
      <c r="H129" s="586"/>
      <c r="I129" s="587"/>
      <c r="J129" s="586"/>
      <c r="K129" s="587"/>
      <c r="L129" s="586"/>
      <c r="M129" s="588"/>
    </row>
    <row r="130" spans="1:13" s="589" customFormat="1" ht="12.95" customHeight="1">
      <c r="A130" s="584" t="s">
        <v>952</v>
      </c>
      <c r="B130" s="665"/>
      <c r="C130" s="585"/>
      <c r="D130" s="586"/>
      <c r="E130" s="587"/>
      <c r="F130" s="586"/>
      <c r="G130" s="587"/>
      <c r="H130" s="586"/>
      <c r="I130" s="587"/>
      <c r="J130" s="586"/>
      <c r="K130" s="587"/>
      <c r="L130" s="586"/>
      <c r="M130" s="588"/>
    </row>
    <row r="131" spans="1:13" s="589" customFormat="1" ht="12.95" customHeight="1">
      <c r="A131" s="584" t="s">
        <v>700</v>
      </c>
      <c r="B131" s="665" t="s">
        <v>126</v>
      </c>
      <c r="C131" s="585"/>
      <c r="D131" s="586">
        <v>50000</v>
      </c>
      <c r="E131" s="587"/>
      <c r="F131" s="586">
        <v>0</v>
      </c>
      <c r="G131" s="587"/>
      <c r="H131" s="586">
        <f t="shared" ref="H131:H133" si="25">J131-F131</f>
        <v>0</v>
      </c>
      <c r="I131" s="587"/>
      <c r="J131" s="586">
        <v>0</v>
      </c>
      <c r="K131" s="587"/>
      <c r="L131" s="586">
        <v>0</v>
      </c>
      <c r="M131" s="588"/>
    </row>
    <row r="132" spans="1:13" s="589" customFormat="1" ht="12.95" customHeight="1">
      <c r="A132" s="584" t="s">
        <v>953</v>
      </c>
      <c r="B132" s="665" t="s">
        <v>129</v>
      </c>
      <c r="C132" s="585"/>
      <c r="D132" s="586">
        <v>5000</v>
      </c>
      <c r="E132" s="587"/>
      <c r="F132" s="586">
        <v>0</v>
      </c>
      <c r="G132" s="587"/>
      <c r="H132" s="586">
        <f t="shared" si="25"/>
        <v>0</v>
      </c>
      <c r="I132" s="587"/>
      <c r="J132" s="586">
        <v>0</v>
      </c>
      <c r="K132" s="587"/>
      <c r="L132" s="586">
        <v>0</v>
      </c>
      <c r="M132" s="588"/>
    </row>
    <row r="133" spans="1:13" s="589" customFormat="1" ht="12.95" customHeight="1">
      <c r="A133" s="584" t="s">
        <v>812</v>
      </c>
      <c r="B133" s="665" t="s">
        <v>174</v>
      </c>
      <c r="C133" s="585"/>
      <c r="D133" s="586">
        <v>20000</v>
      </c>
      <c r="E133" s="587"/>
      <c r="F133" s="586">
        <v>0</v>
      </c>
      <c r="G133" s="587"/>
      <c r="H133" s="586">
        <f t="shared" si="25"/>
        <v>0</v>
      </c>
      <c r="I133" s="587"/>
      <c r="J133" s="586">
        <v>0</v>
      </c>
      <c r="K133" s="587"/>
      <c r="L133" s="586">
        <v>0</v>
      </c>
      <c r="M133" s="588"/>
    </row>
    <row r="134" spans="1:13" s="589" customFormat="1" ht="12.95" customHeight="1">
      <c r="A134" s="584" t="s">
        <v>954</v>
      </c>
      <c r="B134" s="665" t="s">
        <v>148</v>
      </c>
      <c r="C134" s="585"/>
      <c r="D134" s="586"/>
      <c r="E134" s="587"/>
      <c r="F134" s="586"/>
      <c r="G134" s="587"/>
      <c r="H134" s="586"/>
      <c r="I134" s="587"/>
      <c r="J134" s="586"/>
      <c r="K134" s="587"/>
      <c r="L134" s="586"/>
      <c r="M134" s="588"/>
    </row>
    <row r="135" spans="1:13" s="589" customFormat="1" ht="12.95" customHeight="1">
      <c r="A135" s="584" t="s">
        <v>1293</v>
      </c>
      <c r="B135" s="665"/>
      <c r="C135" s="585"/>
      <c r="D135" s="586">
        <v>143744.13</v>
      </c>
      <c r="E135" s="587"/>
      <c r="F135" s="586">
        <v>0</v>
      </c>
      <c r="G135" s="587"/>
      <c r="H135" s="586">
        <f t="shared" ref="H135:H136" si="26">J135-F135</f>
        <v>0</v>
      </c>
      <c r="I135" s="587"/>
      <c r="J135" s="586">
        <v>0</v>
      </c>
      <c r="K135" s="587"/>
      <c r="L135" s="586">
        <v>0</v>
      </c>
      <c r="M135" s="588"/>
    </row>
    <row r="136" spans="1:13" s="589" customFormat="1" ht="12.95" customHeight="1">
      <c r="A136" s="584" t="s">
        <v>1294</v>
      </c>
      <c r="B136" s="665"/>
      <c r="C136" s="585"/>
      <c r="D136" s="586">
        <v>45000</v>
      </c>
      <c r="E136" s="587"/>
      <c r="F136" s="586">
        <v>0</v>
      </c>
      <c r="G136" s="587"/>
      <c r="H136" s="586">
        <f t="shared" si="26"/>
        <v>0</v>
      </c>
      <c r="I136" s="587"/>
      <c r="J136" s="586">
        <v>0</v>
      </c>
      <c r="K136" s="587"/>
      <c r="L136" s="586">
        <v>0</v>
      </c>
      <c r="M136" s="588"/>
    </row>
    <row r="137" spans="1:13" s="589" customFormat="1" ht="12.75" customHeight="1">
      <c r="A137" s="908" t="s">
        <v>1488</v>
      </c>
      <c r="B137" s="665"/>
      <c r="C137" s="585"/>
      <c r="D137" s="586"/>
      <c r="E137" s="587"/>
      <c r="F137" s="586"/>
      <c r="G137" s="587"/>
      <c r="H137" s="586"/>
      <c r="I137" s="587"/>
      <c r="J137" s="586"/>
      <c r="K137" s="587"/>
      <c r="L137" s="586"/>
      <c r="M137" s="588"/>
    </row>
    <row r="138" spans="1:13" s="589" customFormat="1" ht="12.95" customHeight="1">
      <c r="A138" s="584" t="s">
        <v>952</v>
      </c>
      <c r="B138" s="665"/>
      <c r="C138" s="585"/>
      <c r="D138" s="586"/>
      <c r="E138" s="587"/>
      <c r="F138" s="586"/>
      <c r="G138" s="587"/>
      <c r="H138" s="586"/>
      <c r="I138" s="587"/>
      <c r="J138" s="586"/>
      <c r="K138" s="587"/>
      <c r="L138" s="586"/>
      <c r="M138" s="588"/>
    </row>
    <row r="139" spans="1:13" s="589" customFormat="1" ht="12.95" customHeight="1">
      <c r="A139" s="584" t="s">
        <v>700</v>
      </c>
      <c r="B139" s="665" t="s">
        <v>126</v>
      </c>
      <c r="C139" s="585"/>
      <c r="D139" s="586">
        <v>24000</v>
      </c>
      <c r="E139" s="587"/>
      <c r="F139" s="586">
        <v>0</v>
      </c>
      <c r="G139" s="587"/>
      <c r="H139" s="586">
        <f t="shared" ref="H139:H141" si="27">J139-F139</f>
        <v>0</v>
      </c>
      <c r="I139" s="587"/>
      <c r="J139" s="586">
        <v>0</v>
      </c>
      <c r="K139" s="587"/>
      <c r="L139" s="586">
        <v>0</v>
      </c>
      <c r="M139" s="588"/>
    </row>
    <row r="140" spans="1:13" s="589" customFormat="1" ht="12.95" customHeight="1">
      <c r="A140" s="584" t="s">
        <v>953</v>
      </c>
      <c r="B140" s="665" t="s">
        <v>129</v>
      </c>
      <c r="C140" s="585"/>
      <c r="D140" s="586">
        <v>5000</v>
      </c>
      <c r="E140" s="587"/>
      <c r="F140" s="586">
        <v>0</v>
      </c>
      <c r="G140" s="587"/>
      <c r="H140" s="586">
        <f t="shared" ref="H140" si="28">J140-F140</f>
        <v>0</v>
      </c>
      <c r="I140" s="587"/>
      <c r="J140" s="586">
        <v>0</v>
      </c>
      <c r="K140" s="587"/>
      <c r="L140" s="586">
        <v>0</v>
      </c>
      <c r="M140" s="588"/>
    </row>
    <row r="141" spans="1:13" s="589" customFormat="1" ht="12.95" customHeight="1">
      <c r="A141" s="584" t="s">
        <v>812</v>
      </c>
      <c r="B141" s="665" t="s">
        <v>174</v>
      </c>
      <c r="C141" s="585"/>
      <c r="D141" s="586">
        <v>20000</v>
      </c>
      <c r="E141" s="587"/>
      <c r="F141" s="586">
        <v>0</v>
      </c>
      <c r="G141" s="587"/>
      <c r="H141" s="586">
        <f t="shared" si="27"/>
        <v>0</v>
      </c>
      <c r="I141" s="587"/>
      <c r="J141" s="586">
        <v>0</v>
      </c>
      <c r="K141" s="587"/>
      <c r="L141" s="586">
        <v>0</v>
      </c>
      <c r="M141" s="588"/>
    </row>
    <row r="142" spans="1:13" s="589" customFormat="1" ht="12.95" customHeight="1">
      <c r="A142" s="584" t="s">
        <v>954</v>
      </c>
      <c r="B142" s="665" t="s">
        <v>148</v>
      </c>
      <c r="C142" s="585"/>
      <c r="D142" s="586"/>
      <c r="E142" s="587"/>
      <c r="F142" s="586"/>
      <c r="G142" s="587"/>
      <c r="H142" s="586"/>
      <c r="I142" s="587"/>
      <c r="J142" s="586"/>
      <c r="K142" s="587"/>
      <c r="L142" s="586"/>
      <c r="M142" s="588"/>
    </row>
    <row r="143" spans="1:13" s="589" customFormat="1" ht="12.95" customHeight="1">
      <c r="A143" s="584" t="s">
        <v>1293</v>
      </c>
      <c r="B143" s="665"/>
      <c r="C143" s="585"/>
      <c r="D143" s="586">
        <v>103654</v>
      </c>
      <c r="E143" s="587"/>
      <c r="F143" s="586">
        <v>0</v>
      </c>
      <c r="G143" s="587"/>
      <c r="H143" s="586">
        <f t="shared" ref="H143:H144" si="29">J143-F143</f>
        <v>0</v>
      </c>
      <c r="I143" s="587"/>
      <c r="J143" s="586">
        <v>0</v>
      </c>
      <c r="K143" s="587"/>
      <c r="L143" s="586">
        <v>0</v>
      </c>
      <c r="M143" s="588"/>
    </row>
    <row r="144" spans="1:13" s="589" customFormat="1" ht="12.95" customHeight="1">
      <c r="A144" s="584" t="s">
        <v>1294</v>
      </c>
      <c r="B144" s="665"/>
      <c r="C144" s="585"/>
      <c r="D144" s="586">
        <v>27000</v>
      </c>
      <c r="E144" s="587"/>
      <c r="F144" s="586">
        <v>0</v>
      </c>
      <c r="G144" s="587"/>
      <c r="H144" s="586">
        <f t="shared" si="29"/>
        <v>0</v>
      </c>
      <c r="I144" s="587"/>
      <c r="J144" s="586">
        <v>0</v>
      </c>
      <c r="K144" s="587"/>
      <c r="L144" s="586">
        <v>0</v>
      </c>
      <c r="M144" s="588"/>
    </row>
    <row r="145" spans="1:13" s="589" customFormat="1" ht="12.95" customHeight="1">
      <c r="A145" s="584" t="s">
        <v>1489</v>
      </c>
      <c r="B145" s="665"/>
      <c r="C145" s="585"/>
      <c r="D145" s="586"/>
      <c r="E145" s="587"/>
      <c r="F145" s="586"/>
      <c r="G145" s="587"/>
      <c r="H145" s="586"/>
      <c r="I145" s="587"/>
      <c r="J145" s="586"/>
      <c r="K145" s="587"/>
      <c r="L145" s="586"/>
      <c r="M145" s="588"/>
    </row>
    <row r="146" spans="1:13" s="589" customFormat="1" ht="12.95" customHeight="1">
      <c r="A146" s="584" t="s">
        <v>938</v>
      </c>
      <c r="B146" s="665"/>
      <c r="C146" s="585"/>
      <c r="D146" s="586"/>
      <c r="E146" s="587"/>
      <c r="F146" s="586"/>
      <c r="G146" s="587"/>
      <c r="H146" s="586"/>
      <c r="I146" s="587"/>
      <c r="J146" s="586"/>
      <c r="K146" s="587"/>
      <c r="L146" s="586"/>
      <c r="M146" s="588"/>
    </row>
    <row r="147" spans="1:13" s="589" customFormat="1" ht="12.95" customHeight="1">
      <c r="A147" s="584" t="s">
        <v>939</v>
      </c>
      <c r="B147" s="665"/>
      <c r="C147" s="585"/>
      <c r="D147" s="586"/>
      <c r="E147" s="587"/>
      <c r="F147" s="586"/>
      <c r="G147" s="587"/>
      <c r="H147" s="586"/>
      <c r="I147" s="587"/>
      <c r="J147" s="586"/>
      <c r="K147" s="587"/>
      <c r="L147" s="586"/>
      <c r="M147" s="588"/>
    </row>
    <row r="148" spans="1:13" s="589" customFormat="1" ht="12.95" customHeight="1">
      <c r="A148" s="584" t="s">
        <v>952</v>
      </c>
      <c r="B148" s="665"/>
      <c r="C148" s="585"/>
      <c r="D148" s="586"/>
      <c r="E148" s="587"/>
      <c r="F148" s="586"/>
      <c r="G148" s="587"/>
      <c r="H148" s="586"/>
      <c r="I148" s="587"/>
      <c r="J148" s="586"/>
      <c r="K148" s="587"/>
      <c r="L148" s="586"/>
      <c r="M148" s="588"/>
    </row>
    <row r="149" spans="1:13" s="589" customFormat="1" ht="12.95" customHeight="1">
      <c r="A149" s="584" t="s">
        <v>953</v>
      </c>
      <c r="B149" s="665" t="s">
        <v>129</v>
      </c>
      <c r="C149" s="585"/>
      <c r="D149" s="586">
        <v>0</v>
      </c>
      <c r="E149" s="587"/>
      <c r="F149" s="586">
        <v>0</v>
      </c>
      <c r="G149" s="587"/>
      <c r="H149" s="586">
        <f t="shared" ref="H149:H151" si="30">J149-F149</f>
        <v>10000</v>
      </c>
      <c r="I149" s="587"/>
      <c r="J149" s="586">
        <v>10000</v>
      </c>
      <c r="K149" s="587"/>
      <c r="L149" s="586">
        <v>0</v>
      </c>
      <c r="M149" s="588"/>
    </row>
    <row r="150" spans="1:13" s="589" customFormat="1" ht="12.95" customHeight="1">
      <c r="A150" s="584" t="s">
        <v>812</v>
      </c>
      <c r="B150" s="665" t="s">
        <v>174</v>
      </c>
      <c r="C150" s="585"/>
      <c r="D150" s="586">
        <v>0</v>
      </c>
      <c r="E150" s="587"/>
      <c r="F150" s="586">
        <v>0</v>
      </c>
      <c r="G150" s="587"/>
      <c r="H150" s="586">
        <f t="shared" ref="H150" si="31">J150-F150</f>
        <v>10000</v>
      </c>
      <c r="I150" s="587"/>
      <c r="J150" s="586">
        <v>10000</v>
      </c>
      <c r="K150" s="587"/>
      <c r="L150" s="586">
        <v>0</v>
      </c>
      <c r="M150" s="588"/>
    </row>
    <row r="151" spans="1:13" s="589" customFormat="1" ht="12.95" customHeight="1">
      <c r="A151" s="584" t="s">
        <v>1287</v>
      </c>
      <c r="B151" s="665" t="s">
        <v>141</v>
      </c>
      <c r="C151" s="585"/>
      <c r="D151" s="586">
        <v>0</v>
      </c>
      <c r="E151" s="587"/>
      <c r="F151" s="586">
        <v>0</v>
      </c>
      <c r="G151" s="587"/>
      <c r="H151" s="586">
        <f t="shared" si="30"/>
        <v>500000</v>
      </c>
      <c r="I151" s="587"/>
      <c r="J151" s="586">
        <v>500000</v>
      </c>
      <c r="K151" s="587"/>
      <c r="L151" s="586">
        <v>0</v>
      </c>
      <c r="M151" s="588"/>
    </row>
    <row r="152" spans="1:13" s="589" customFormat="1" ht="12.95" customHeight="1">
      <c r="A152" s="584" t="s">
        <v>954</v>
      </c>
      <c r="B152" s="665" t="s">
        <v>148</v>
      </c>
      <c r="C152" s="585"/>
      <c r="D152" s="586"/>
      <c r="E152" s="587"/>
      <c r="F152" s="586"/>
      <c r="G152" s="587"/>
      <c r="H152" s="586"/>
      <c r="I152" s="587"/>
      <c r="J152" s="586"/>
      <c r="K152" s="587"/>
      <c r="L152" s="586"/>
      <c r="M152" s="588"/>
    </row>
    <row r="153" spans="1:13" s="589" customFormat="1" ht="12.95" customHeight="1">
      <c r="A153" s="584" t="s">
        <v>956</v>
      </c>
      <c r="B153" s="665"/>
      <c r="C153" s="585"/>
      <c r="D153" s="586">
        <v>3150</v>
      </c>
      <c r="E153" s="587"/>
      <c r="F153" s="586">
        <v>6500</v>
      </c>
      <c r="G153" s="587"/>
      <c r="H153" s="586">
        <f t="shared" ref="H153" si="32">J153-F153</f>
        <v>23500</v>
      </c>
      <c r="I153" s="587"/>
      <c r="J153" s="586">
        <v>30000</v>
      </c>
      <c r="K153" s="587"/>
      <c r="L153" s="586">
        <v>0</v>
      </c>
      <c r="M153" s="588"/>
    </row>
    <row r="154" spans="1:13" s="589" customFormat="1" ht="12.95" customHeight="1">
      <c r="A154" s="584" t="s">
        <v>869</v>
      </c>
      <c r="B154" s="665"/>
      <c r="C154" s="585"/>
      <c r="D154" s="586"/>
      <c r="E154" s="587"/>
      <c r="F154" s="586"/>
      <c r="G154" s="587"/>
      <c r="H154" s="586"/>
      <c r="I154" s="587"/>
      <c r="J154" s="586"/>
      <c r="K154" s="587"/>
      <c r="L154" s="586"/>
      <c r="M154" s="588"/>
    </row>
    <row r="155" spans="1:13" s="589" customFormat="1" ht="12.95" customHeight="1">
      <c r="A155" s="584" t="s">
        <v>957</v>
      </c>
      <c r="B155" s="665" t="s">
        <v>335</v>
      </c>
      <c r="C155" s="585"/>
      <c r="D155" s="586"/>
      <c r="E155" s="587"/>
      <c r="F155" s="586"/>
      <c r="G155" s="587"/>
      <c r="H155" s="586"/>
      <c r="I155" s="587"/>
      <c r="J155" s="586"/>
      <c r="K155" s="587"/>
      <c r="L155" s="586"/>
      <c r="M155" s="588"/>
    </row>
    <row r="156" spans="1:13" s="589" customFormat="1" ht="12.95" customHeight="1">
      <c r="A156" s="584" t="s">
        <v>958</v>
      </c>
      <c r="B156" s="665"/>
      <c r="C156" s="585"/>
      <c r="D156" s="586">
        <v>0</v>
      </c>
      <c r="E156" s="587"/>
      <c r="F156" s="586">
        <v>0</v>
      </c>
      <c r="G156" s="587"/>
      <c r="H156" s="586">
        <f t="shared" ref="H156" si="33">J156-F156</f>
        <v>0</v>
      </c>
      <c r="I156" s="587"/>
      <c r="J156" s="586">
        <v>0</v>
      </c>
      <c r="K156" s="587"/>
      <c r="L156" s="586">
        <v>0</v>
      </c>
      <c r="M156" s="588"/>
    </row>
    <row r="157" spans="1:13" s="589" customFormat="1" ht="12.95" customHeight="1">
      <c r="A157" s="584" t="s">
        <v>1490</v>
      </c>
      <c r="B157" s="665"/>
      <c r="C157" s="585"/>
      <c r="D157" s="586"/>
      <c r="E157" s="587"/>
      <c r="F157" s="586"/>
      <c r="G157" s="587"/>
      <c r="H157" s="586"/>
      <c r="I157" s="587"/>
      <c r="J157" s="586"/>
      <c r="K157" s="587"/>
      <c r="L157" s="586"/>
      <c r="M157" s="588"/>
    </row>
    <row r="158" spans="1:13" s="589" customFormat="1" ht="12.95" customHeight="1">
      <c r="A158" s="584" t="s">
        <v>940</v>
      </c>
      <c r="B158" s="665"/>
      <c r="C158" s="585"/>
      <c r="D158" s="586"/>
      <c r="E158" s="587"/>
      <c r="F158" s="586"/>
      <c r="G158" s="587"/>
      <c r="H158" s="586"/>
      <c r="I158" s="587"/>
      <c r="J158" s="586"/>
      <c r="K158" s="587"/>
      <c r="L158" s="586"/>
      <c r="M158" s="588"/>
    </row>
    <row r="159" spans="1:13" s="589" customFormat="1" ht="12.95" customHeight="1">
      <c r="A159" s="584" t="s">
        <v>939</v>
      </c>
      <c r="B159" s="665"/>
      <c r="C159" s="585"/>
      <c r="D159" s="586"/>
      <c r="E159" s="587"/>
      <c r="F159" s="586"/>
      <c r="G159" s="587"/>
      <c r="H159" s="586"/>
      <c r="I159" s="587"/>
      <c r="J159" s="586"/>
      <c r="K159" s="587"/>
      <c r="L159" s="586"/>
      <c r="M159" s="588"/>
    </row>
    <row r="160" spans="1:13" s="589" customFormat="1" ht="12.95" customHeight="1">
      <c r="A160" s="584" t="s">
        <v>952</v>
      </c>
      <c r="B160" s="665"/>
      <c r="C160" s="585"/>
      <c r="D160" s="586"/>
      <c r="E160" s="587"/>
      <c r="F160" s="586"/>
      <c r="G160" s="587"/>
      <c r="H160" s="586"/>
      <c r="I160" s="587"/>
      <c r="J160" s="586"/>
      <c r="K160" s="587"/>
      <c r="L160" s="586"/>
      <c r="M160" s="588"/>
    </row>
    <row r="161" spans="1:13" s="589" customFormat="1" ht="12.95" customHeight="1">
      <c r="A161" s="584" t="s">
        <v>954</v>
      </c>
      <c r="B161" s="665" t="s">
        <v>148</v>
      </c>
      <c r="C161" s="585"/>
      <c r="D161" s="586"/>
      <c r="E161" s="587"/>
      <c r="F161" s="586"/>
      <c r="G161" s="587"/>
      <c r="H161" s="586"/>
      <c r="I161" s="587"/>
      <c r="J161" s="586"/>
      <c r="K161" s="587"/>
      <c r="L161" s="586"/>
      <c r="M161" s="588"/>
    </row>
    <row r="162" spans="1:13" s="589" customFormat="1" ht="12.95" customHeight="1">
      <c r="A162" s="584" t="s">
        <v>960</v>
      </c>
      <c r="B162" s="665"/>
      <c r="C162" s="585"/>
      <c r="D162" s="586">
        <v>266341</v>
      </c>
      <c r="E162" s="587"/>
      <c r="F162" s="586">
        <v>0</v>
      </c>
      <c r="G162" s="587"/>
      <c r="H162" s="586">
        <f t="shared" ref="H162" si="34">J162-F162</f>
        <v>1500000</v>
      </c>
      <c r="I162" s="587"/>
      <c r="J162" s="586">
        <v>1500000</v>
      </c>
      <c r="K162" s="587"/>
      <c r="L162" s="586">
        <v>0</v>
      </c>
      <c r="M162" s="588"/>
    </row>
    <row r="163" spans="1:13" s="589" customFormat="1" ht="12.95" customHeight="1">
      <c r="A163" s="584" t="s">
        <v>1491</v>
      </c>
      <c r="B163" s="665"/>
      <c r="C163" s="585"/>
      <c r="D163" s="586"/>
      <c r="E163" s="587"/>
      <c r="F163" s="586"/>
      <c r="G163" s="587"/>
      <c r="H163" s="586"/>
      <c r="I163" s="587"/>
      <c r="J163" s="586"/>
      <c r="K163" s="587"/>
      <c r="L163" s="586"/>
      <c r="M163" s="588"/>
    </row>
    <row r="164" spans="1:13" s="589" customFormat="1" ht="12.95" customHeight="1">
      <c r="A164" s="584" t="s">
        <v>952</v>
      </c>
      <c r="B164" s="665"/>
      <c r="C164" s="585"/>
      <c r="D164" s="586"/>
      <c r="E164" s="587"/>
      <c r="F164" s="586"/>
      <c r="G164" s="587"/>
      <c r="H164" s="586"/>
      <c r="I164" s="587"/>
      <c r="J164" s="586"/>
      <c r="K164" s="587"/>
      <c r="L164" s="586"/>
      <c r="M164" s="588"/>
    </row>
    <row r="165" spans="1:13" s="589" customFormat="1" ht="12.95" customHeight="1">
      <c r="A165" s="584" t="s">
        <v>961</v>
      </c>
      <c r="B165" s="665" t="s">
        <v>173</v>
      </c>
      <c r="C165" s="585"/>
      <c r="D165" s="586">
        <v>123750</v>
      </c>
      <c r="E165" s="587"/>
      <c r="F165" s="586">
        <v>0</v>
      </c>
      <c r="G165" s="587"/>
      <c r="H165" s="586">
        <f t="shared" ref="H165:H166" si="35">J165-F165</f>
        <v>350000</v>
      </c>
      <c r="I165" s="587"/>
      <c r="J165" s="586">
        <v>350000</v>
      </c>
      <c r="K165" s="587"/>
      <c r="L165" s="586">
        <v>0</v>
      </c>
      <c r="M165" s="588"/>
    </row>
    <row r="166" spans="1:13" s="589" customFormat="1" ht="12.95" customHeight="1">
      <c r="A166" s="584" t="s">
        <v>812</v>
      </c>
      <c r="B166" s="665" t="s">
        <v>174</v>
      </c>
      <c r="C166" s="585"/>
      <c r="D166" s="586">
        <v>0</v>
      </c>
      <c r="E166" s="587"/>
      <c r="F166" s="586">
        <v>0</v>
      </c>
      <c r="G166" s="587"/>
      <c r="H166" s="586">
        <f t="shared" si="35"/>
        <v>100000</v>
      </c>
      <c r="I166" s="587"/>
      <c r="J166" s="586">
        <v>100000</v>
      </c>
      <c r="K166" s="587"/>
      <c r="L166" s="586">
        <v>0</v>
      </c>
      <c r="M166" s="588"/>
    </row>
    <row r="167" spans="1:13" s="589" customFormat="1" ht="12.95" customHeight="1">
      <c r="A167" s="584" t="s">
        <v>954</v>
      </c>
      <c r="B167" s="665" t="s">
        <v>148</v>
      </c>
      <c r="C167" s="585"/>
      <c r="D167" s="586"/>
      <c r="E167" s="587"/>
      <c r="F167" s="586"/>
      <c r="G167" s="587"/>
      <c r="H167" s="586"/>
      <c r="I167" s="587"/>
      <c r="J167" s="586"/>
      <c r="K167" s="587"/>
      <c r="L167" s="586"/>
      <c r="M167" s="588"/>
    </row>
    <row r="168" spans="1:13" s="589" customFormat="1" ht="12.95" customHeight="1">
      <c r="A168" s="592" t="s">
        <v>962</v>
      </c>
      <c r="B168" s="666"/>
      <c r="C168" s="594"/>
      <c r="D168" s="595">
        <v>187500</v>
      </c>
      <c r="E168" s="596"/>
      <c r="F168" s="595">
        <v>0</v>
      </c>
      <c r="G168" s="596"/>
      <c r="H168" s="595">
        <f t="shared" ref="H168" si="36">J168-F168</f>
        <v>100000</v>
      </c>
      <c r="I168" s="596"/>
      <c r="J168" s="595">
        <v>100000</v>
      </c>
      <c r="K168" s="596"/>
      <c r="L168" s="595">
        <v>0</v>
      </c>
      <c r="M168" s="588"/>
    </row>
    <row r="169" spans="1:13" s="589" customFormat="1" ht="12.95" customHeight="1">
      <c r="A169" s="584" t="s">
        <v>1492</v>
      </c>
      <c r="B169" s="665"/>
      <c r="C169" s="585"/>
      <c r="D169" s="586"/>
      <c r="E169" s="587"/>
      <c r="F169" s="586"/>
      <c r="G169" s="587"/>
      <c r="H169" s="586"/>
      <c r="I169" s="587"/>
      <c r="J169" s="586"/>
      <c r="K169" s="587"/>
      <c r="L169" s="586"/>
      <c r="M169" s="588"/>
    </row>
    <row r="170" spans="1:13" s="589" customFormat="1" ht="12.95" customHeight="1">
      <c r="A170" s="584" t="s">
        <v>964</v>
      </c>
      <c r="B170" s="665"/>
      <c r="C170" s="585"/>
      <c r="D170" s="586"/>
      <c r="E170" s="587"/>
      <c r="F170" s="586"/>
      <c r="G170" s="587"/>
      <c r="H170" s="586"/>
      <c r="I170" s="587"/>
      <c r="J170" s="586"/>
      <c r="K170" s="587"/>
      <c r="L170" s="586"/>
      <c r="M170" s="588"/>
    </row>
    <row r="171" spans="1:13" s="589" customFormat="1" ht="12.95" customHeight="1">
      <c r="A171" s="584" t="s">
        <v>952</v>
      </c>
      <c r="B171" s="665"/>
      <c r="C171" s="585"/>
      <c r="D171" s="586"/>
      <c r="E171" s="587"/>
      <c r="F171" s="586"/>
      <c r="G171" s="587"/>
      <c r="H171" s="586"/>
      <c r="I171" s="587"/>
      <c r="J171" s="586"/>
      <c r="K171" s="587"/>
      <c r="L171" s="586"/>
      <c r="M171" s="588"/>
    </row>
    <row r="172" spans="1:13" s="589" customFormat="1" ht="12.95" customHeight="1">
      <c r="A172" s="584" t="s">
        <v>700</v>
      </c>
      <c r="B172" s="665" t="s">
        <v>126</v>
      </c>
      <c r="C172" s="585"/>
      <c r="D172" s="586">
        <v>284500</v>
      </c>
      <c r="E172" s="587"/>
      <c r="F172" s="586">
        <v>100000</v>
      </c>
      <c r="G172" s="587"/>
      <c r="H172" s="586">
        <f t="shared" ref="H172:H182" si="37">J172-F172</f>
        <v>0</v>
      </c>
      <c r="I172" s="587"/>
      <c r="J172" s="586">
        <v>100000</v>
      </c>
      <c r="K172" s="587"/>
      <c r="L172" s="586">
        <v>500000</v>
      </c>
      <c r="M172" s="588"/>
    </row>
    <row r="173" spans="1:13" s="589" customFormat="1" ht="12.95" customHeight="1">
      <c r="A173" s="584" t="s">
        <v>699</v>
      </c>
      <c r="B173" s="665" t="s">
        <v>128</v>
      </c>
      <c r="C173" s="585"/>
      <c r="D173" s="586">
        <v>57760</v>
      </c>
      <c r="E173" s="587"/>
      <c r="F173" s="586">
        <v>1923</v>
      </c>
      <c r="G173" s="587"/>
      <c r="H173" s="586">
        <f t="shared" si="37"/>
        <v>78077</v>
      </c>
      <c r="I173" s="587"/>
      <c r="J173" s="586">
        <v>80000</v>
      </c>
      <c r="K173" s="587"/>
      <c r="L173" s="586">
        <v>228091</v>
      </c>
      <c r="M173" s="588"/>
    </row>
    <row r="174" spans="1:13" s="589" customFormat="1" ht="12.95" customHeight="1">
      <c r="A174" s="584" t="s">
        <v>953</v>
      </c>
      <c r="B174" s="665" t="s">
        <v>129</v>
      </c>
      <c r="C174" s="585"/>
      <c r="D174" s="586">
        <v>1300000</v>
      </c>
      <c r="E174" s="587"/>
      <c r="F174" s="586">
        <v>429394.03</v>
      </c>
      <c r="G174" s="587"/>
      <c r="H174" s="586">
        <f t="shared" si="37"/>
        <v>570605.97</v>
      </c>
      <c r="I174" s="587"/>
      <c r="J174" s="586">
        <v>1000000</v>
      </c>
      <c r="K174" s="587"/>
      <c r="L174" s="586">
        <v>2000000</v>
      </c>
      <c r="M174" s="588"/>
    </row>
    <row r="175" spans="1:13" s="589" customFormat="1" ht="12.95" customHeight="1">
      <c r="A175" s="584" t="s">
        <v>961</v>
      </c>
      <c r="B175" s="665" t="s">
        <v>173</v>
      </c>
      <c r="C175" s="585"/>
      <c r="D175" s="586">
        <v>0</v>
      </c>
      <c r="E175" s="587"/>
      <c r="F175" s="586">
        <v>0</v>
      </c>
      <c r="G175" s="587"/>
      <c r="H175" s="586">
        <f t="shared" si="37"/>
        <v>0</v>
      </c>
      <c r="I175" s="587"/>
      <c r="J175" s="586">
        <v>0</v>
      </c>
      <c r="K175" s="587"/>
      <c r="L175" s="586">
        <v>260000</v>
      </c>
      <c r="M175" s="588"/>
    </row>
    <row r="176" spans="1:13" s="589" customFormat="1" ht="12.95" customHeight="1">
      <c r="A176" s="584" t="s">
        <v>812</v>
      </c>
      <c r="B176" s="665" t="s">
        <v>174</v>
      </c>
      <c r="C176" s="585"/>
      <c r="D176" s="586">
        <v>67120</v>
      </c>
      <c r="E176" s="587"/>
      <c r="F176" s="586">
        <v>68229.5</v>
      </c>
      <c r="G176" s="587"/>
      <c r="H176" s="586">
        <f t="shared" ref="H176:H178" si="38">J176-F176</f>
        <v>631770.5</v>
      </c>
      <c r="I176" s="587"/>
      <c r="J176" s="586">
        <v>700000</v>
      </c>
      <c r="K176" s="587"/>
      <c r="L176" s="586">
        <v>0</v>
      </c>
      <c r="M176" s="588"/>
    </row>
    <row r="177" spans="1:13" s="589" customFormat="1" ht="12.95" customHeight="1">
      <c r="A177" s="584" t="s">
        <v>1292</v>
      </c>
      <c r="B177" s="665" t="s">
        <v>133</v>
      </c>
      <c r="C177" s="585"/>
      <c r="D177" s="586">
        <v>50263.48</v>
      </c>
      <c r="E177" s="587"/>
      <c r="F177" s="586">
        <v>27779.25</v>
      </c>
      <c r="G177" s="587"/>
      <c r="H177" s="586">
        <f t="shared" ref="H177" si="39">J177-F177</f>
        <v>172220.75</v>
      </c>
      <c r="I177" s="587"/>
      <c r="J177" s="586">
        <v>200000</v>
      </c>
      <c r="K177" s="587"/>
      <c r="L177" s="586">
        <v>240000</v>
      </c>
      <c r="M177" s="588"/>
    </row>
    <row r="178" spans="1:13" s="589" customFormat="1" ht="12.95" customHeight="1">
      <c r="A178" s="584" t="s">
        <v>1288</v>
      </c>
      <c r="B178" s="665" t="s">
        <v>134</v>
      </c>
      <c r="C178" s="585"/>
      <c r="D178" s="586">
        <v>0</v>
      </c>
      <c r="E178" s="587"/>
      <c r="F178" s="586">
        <v>0</v>
      </c>
      <c r="G178" s="587"/>
      <c r="H178" s="586">
        <f t="shared" si="38"/>
        <v>35000</v>
      </c>
      <c r="I178" s="587"/>
      <c r="J178" s="586">
        <v>35000</v>
      </c>
      <c r="K178" s="587"/>
      <c r="L178" s="586">
        <v>0</v>
      </c>
      <c r="M178" s="588"/>
    </row>
    <row r="179" spans="1:13" s="589" customFormat="1" ht="12.95" customHeight="1">
      <c r="A179" s="28" t="s">
        <v>1289</v>
      </c>
      <c r="B179" s="29" t="s">
        <v>182</v>
      </c>
      <c r="C179" s="836"/>
      <c r="D179" s="586">
        <v>0</v>
      </c>
      <c r="E179" s="587"/>
      <c r="F179" s="586">
        <v>0</v>
      </c>
      <c r="G179" s="587"/>
      <c r="H179" s="586">
        <f t="shared" si="37"/>
        <v>10000</v>
      </c>
      <c r="I179" s="587"/>
      <c r="J179" s="586">
        <v>10000</v>
      </c>
      <c r="K179" s="587"/>
      <c r="L179" s="586">
        <v>0</v>
      </c>
      <c r="M179" s="588"/>
    </row>
    <row r="180" spans="1:13" s="589" customFormat="1" ht="12.95" customHeight="1">
      <c r="A180" s="28" t="s">
        <v>1291</v>
      </c>
      <c r="B180" s="29" t="s">
        <v>166</v>
      </c>
      <c r="C180" s="837"/>
      <c r="D180" s="586">
        <v>60000</v>
      </c>
      <c r="E180" s="587"/>
      <c r="F180" s="586">
        <v>0</v>
      </c>
      <c r="G180" s="587"/>
      <c r="H180" s="586">
        <f t="shared" si="37"/>
        <v>500000</v>
      </c>
      <c r="I180" s="587"/>
      <c r="J180" s="586">
        <v>500000</v>
      </c>
      <c r="K180" s="587"/>
      <c r="L180" s="586">
        <v>100000</v>
      </c>
      <c r="M180" s="588"/>
    </row>
    <row r="181" spans="1:13" s="589" customFormat="1" ht="12.95" customHeight="1">
      <c r="A181" s="28" t="s">
        <v>1290</v>
      </c>
      <c r="B181" s="29" t="s">
        <v>167</v>
      </c>
      <c r="C181" s="837"/>
      <c r="D181" s="586">
        <v>89938.12</v>
      </c>
      <c r="E181" s="587"/>
      <c r="F181" s="586">
        <v>0</v>
      </c>
      <c r="G181" s="587"/>
      <c r="H181" s="586">
        <f t="shared" ref="H181" si="40">J181-F181</f>
        <v>1000000</v>
      </c>
      <c r="I181" s="587"/>
      <c r="J181" s="586">
        <v>1000000</v>
      </c>
      <c r="K181" s="587"/>
      <c r="L181" s="586">
        <v>500000</v>
      </c>
      <c r="M181" s="588"/>
    </row>
    <row r="182" spans="1:13" s="589" customFormat="1" ht="12.95" customHeight="1">
      <c r="A182" s="584" t="s">
        <v>959</v>
      </c>
      <c r="B182" s="665" t="s">
        <v>141</v>
      </c>
      <c r="C182" s="585"/>
      <c r="D182" s="586">
        <v>58696.81</v>
      </c>
      <c r="E182" s="587"/>
      <c r="F182" s="586">
        <v>1250</v>
      </c>
      <c r="G182" s="587"/>
      <c r="H182" s="586">
        <f t="shared" si="37"/>
        <v>48750</v>
      </c>
      <c r="I182" s="587"/>
      <c r="J182" s="586">
        <v>50000</v>
      </c>
      <c r="K182" s="587"/>
      <c r="L182" s="586">
        <v>580000</v>
      </c>
      <c r="M182" s="588"/>
    </row>
    <row r="183" spans="1:13" s="589" customFormat="1" ht="12.95" customHeight="1">
      <c r="A183" s="584" t="s">
        <v>965</v>
      </c>
      <c r="B183" s="665" t="s">
        <v>144</v>
      </c>
      <c r="C183" s="585"/>
      <c r="D183" s="586">
        <v>425026</v>
      </c>
      <c r="E183" s="587"/>
      <c r="F183" s="586">
        <v>120851</v>
      </c>
      <c r="G183" s="587"/>
      <c r="H183" s="586">
        <f t="shared" ref="H183:H186" si="41">J183-F183</f>
        <v>379149</v>
      </c>
      <c r="I183" s="587"/>
      <c r="J183" s="586">
        <v>500000</v>
      </c>
      <c r="K183" s="587"/>
      <c r="L183" s="586">
        <v>500000</v>
      </c>
      <c r="M183" s="588"/>
    </row>
    <row r="184" spans="1:13" s="589" customFormat="1" ht="12.95" customHeight="1">
      <c r="A184" s="584" t="s">
        <v>954</v>
      </c>
      <c r="B184" s="665" t="s">
        <v>148</v>
      </c>
      <c r="C184" s="585"/>
      <c r="D184" s="586"/>
      <c r="E184" s="587"/>
      <c r="F184" s="586"/>
      <c r="G184" s="587"/>
      <c r="H184" s="586"/>
      <c r="I184" s="587"/>
      <c r="J184" s="586"/>
      <c r="K184" s="587"/>
      <c r="L184" s="586"/>
      <c r="M184" s="588"/>
    </row>
    <row r="185" spans="1:13" s="589" customFormat="1" ht="12.95" customHeight="1">
      <c r="A185" s="584" t="s">
        <v>1493</v>
      </c>
      <c r="B185" s="665"/>
      <c r="C185" s="585"/>
      <c r="D185" s="586">
        <v>42000</v>
      </c>
      <c r="E185" s="587"/>
      <c r="F185" s="586">
        <v>0</v>
      </c>
      <c r="G185" s="587"/>
      <c r="H185" s="586">
        <f t="shared" ref="H185" si="42">J185-F185</f>
        <v>0</v>
      </c>
      <c r="I185" s="587"/>
      <c r="J185" s="586">
        <v>0</v>
      </c>
      <c r="K185" s="587"/>
      <c r="L185" s="586">
        <v>24000</v>
      </c>
      <c r="M185" s="588"/>
    </row>
    <row r="186" spans="1:13" s="589" customFormat="1" ht="12.95" customHeight="1">
      <c r="A186" s="584" t="s">
        <v>1532</v>
      </c>
      <c r="B186" s="665"/>
      <c r="C186" s="585"/>
      <c r="D186" s="586">
        <v>0</v>
      </c>
      <c r="E186" s="587"/>
      <c r="F186" s="586">
        <v>0</v>
      </c>
      <c r="G186" s="587"/>
      <c r="H186" s="586">
        <f t="shared" si="41"/>
        <v>0</v>
      </c>
      <c r="I186" s="587"/>
      <c r="J186" s="586">
        <v>0</v>
      </c>
      <c r="K186" s="587"/>
      <c r="L186" s="586">
        <v>200000</v>
      </c>
      <c r="M186" s="588"/>
    </row>
    <row r="187" spans="1:13" s="589" customFormat="1" ht="12.95" customHeight="1">
      <c r="A187" s="584" t="s">
        <v>869</v>
      </c>
      <c r="B187" s="665"/>
      <c r="C187" s="585"/>
      <c r="D187" s="586"/>
      <c r="E187" s="587"/>
      <c r="F187" s="586"/>
      <c r="G187" s="587"/>
      <c r="H187" s="586"/>
      <c r="I187" s="587"/>
      <c r="J187" s="586"/>
      <c r="K187" s="587"/>
      <c r="L187" s="586"/>
      <c r="M187" s="588"/>
    </row>
    <row r="188" spans="1:13" s="589" customFormat="1" ht="12.95" customHeight="1">
      <c r="A188" s="584" t="s">
        <v>1298</v>
      </c>
      <c r="B188" s="665" t="s">
        <v>335</v>
      </c>
      <c r="C188" s="585"/>
      <c r="D188" s="586"/>
      <c r="E188" s="587"/>
      <c r="F188" s="586"/>
      <c r="G188" s="587"/>
      <c r="H188" s="586"/>
      <c r="I188" s="587"/>
      <c r="J188" s="586"/>
      <c r="K188" s="587"/>
      <c r="L188" s="586"/>
      <c r="M188" s="588"/>
    </row>
    <row r="189" spans="1:13" s="589" customFormat="1" ht="12.95" customHeight="1">
      <c r="A189" s="584" t="s">
        <v>1299</v>
      </c>
      <c r="B189" s="665"/>
      <c r="C189" s="585"/>
      <c r="D189" s="586">
        <v>0</v>
      </c>
      <c r="E189" s="587"/>
      <c r="F189" s="586">
        <v>0</v>
      </c>
      <c r="G189" s="587"/>
      <c r="H189" s="586">
        <f t="shared" ref="H189" si="43">J189-F189</f>
        <v>200000</v>
      </c>
      <c r="I189" s="587"/>
      <c r="J189" s="586">
        <v>200000</v>
      </c>
      <c r="K189" s="587"/>
      <c r="L189" s="586">
        <v>0</v>
      </c>
      <c r="M189" s="588"/>
    </row>
    <row r="190" spans="1:13" s="589" customFormat="1" ht="12.95" customHeight="1">
      <c r="A190" s="584" t="s">
        <v>1300</v>
      </c>
      <c r="B190" s="665"/>
      <c r="C190" s="585"/>
      <c r="D190" s="586">
        <v>0</v>
      </c>
      <c r="E190" s="587"/>
      <c r="F190" s="586">
        <v>0</v>
      </c>
      <c r="G190" s="587"/>
      <c r="H190" s="586">
        <f t="shared" ref="H190" si="44">J190-F190</f>
        <v>100000</v>
      </c>
      <c r="I190" s="587"/>
      <c r="J190" s="586">
        <v>100000</v>
      </c>
      <c r="K190" s="587"/>
      <c r="L190" s="586">
        <v>0</v>
      </c>
      <c r="M190" s="588"/>
    </row>
    <row r="191" spans="1:13" s="589" customFormat="1" ht="12.95" customHeight="1">
      <c r="A191" s="584" t="s">
        <v>1533</v>
      </c>
      <c r="B191" s="665"/>
      <c r="C191" s="585"/>
      <c r="D191" s="586"/>
      <c r="E191" s="587"/>
      <c r="F191" s="586"/>
      <c r="G191" s="587"/>
      <c r="H191" s="586"/>
      <c r="I191" s="587"/>
      <c r="J191" s="586"/>
      <c r="K191" s="587"/>
      <c r="L191" s="586"/>
      <c r="M191" s="588"/>
    </row>
    <row r="192" spans="1:13" s="589" customFormat="1" ht="12.95" customHeight="1">
      <c r="A192" s="584" t="s">
        <v>952</v>
      </c>
      <c r="B192" s="665"/>
      <c r="C192" s="585"/>
      <c r="D192" s="586"/>
      <c r="E192" s="587"/>
      <c r="F192" s="586"/>
      <c r="G192" s="587"/>
      <c r="H192" s="586"/>
      <c r="I192" s="587"/>
      <c r="J192" s="586"/>
      <c r="K192" s="587"/>
      <c r="L192" s="586"/>
      <c r="M192" s="588"/>
    </row>
    <row r="193" spans="1:13" s="589" customFormat="1" ht="12.95" customHeight="1">
      <c r="A193" s="584" t="s">
        <v>701</v>
      </c>
      <c r="B193" s="665" t="s">
        <v>127</v>
      </c>
      <c r="C193" s="585"/>
      <c r="D193" s="586">
        <v>150000</v>
      </c>
      <c r="E193" s="587"/>
      <c r="F193" s="586">
        <v>0</v>
      </c>
      <c r="G193" s="587"/>
      <c r="H193" s="586">
        <f t="shared" ref="H193:H195" si="45">J193-F193</f>
        <v>0</v>
      </c>
      <c r="I193" s="587"/>
      <c r="J193" s="586">
        <v>0</v>
      </c>
      <c r="K193" s="587"/>
      <c r="L193" s="586">
        <v>0</v>
      </c>
      <c r="M193" s="588"/>
    </row>
    <row r="194" spans="1:13" s="589" customFormat="1" ht="12.95" customHeight="1">
      <c r="A194" s="28" t="s">
        <v>1291</v>
      </c>
      <c r="B194" s="29" t="s">
        <v>166</v>
      </c>
      <c r="C194" s="909"/>
      <c r="D194" s="586">
        <v>0</v>
      </c>
      <c r="E194" s="587"/>
      <c r="F194" s="586">
        <v>0</v>
      </c>
      <c r="G194" s="587"/>
      <c r="H194" s="586">
        <f t="shared" si="45"/>
        <v>80000</v>
      </c>
      <c r="I194" s="587"/>
      <c r="J194" s="586">
        <v>80000</v>
      </c>
      <c r="K194" s="587"/>
      <c r="L194" s="586">
        <v>0</v>
      </c>
      <c r="M194" s="588"/>
    </row>
    <row r="195" spans="1:13" s="589" customFormat="1" ht="12.95" customHeight="1">
      <c r="A195" s="28" t="s">
        <v>1290</v>
      </c>
      <c r="B195" s="29" t="s">
        <v>167</v>
      </c>
      <c r="C195" s="909"/>
      <c r="D195" s="586">
        <v>0</v>
      </c>
      <c r="E195" s="587"/>
      <c r="F195" s="586">
        <v>0</v>
      </c>
      <c r="G195" s="587"/>
      <c r="H195" s="586">
        <f t="shared" si="45"/>
        <v>100000</v>
      </c>
      <c r="I195" s="587"/>
      <c r="J195" s="586">
        <v>100000</v>
      </c>
      <c r="K195" s="587"/>
      <c r="L195" s="586">
        <v>0</v>
      </c>
      <c r="M195" s="588"/>
    </row>
    <row r="196" spans="1:13" s="589" customFormat="1" ht="12.95" customHeight="1">
      <c r="A196" s="584" t="s">
        <v>991</v>
      </c>
      <c r="B196" s="665" t="s">
        <v>136</v>
      </c>
      <c r="C196" s="585"/>
      <c r="D196" s="586">
        <v>37500</v>
      </c>
      <c r="E196" s="587"/>
      <c r="F196" s="586">
        <v>0</v>
      </c>
      <c r="G196" s="587"/>
      <c r="H196" s="586">
        <f>J196-F196</f>
        <v>0</v>
      </c>
      <c r="I196" s="587"/>
      <c r="J196" s="586">
        <v>0</v>
      </c>
      <c r="K196" s="587"/>
      <c r="L196" s="586">
        <v>0</v>
      </c>
      <c r="M196" s="588"/>
    </row>
    <row r="197" spans="1:13" s="589" customFormat="1" ht="12.95" customHeight="1">
      <c r="A197" s="584" t="s">
        <v>965</v>
      </c>
      <c r="B197" s="665" t="s">
        <v>144</v>
      </c>
      <c r="C197" s="585"/>
      <c r="D197" s="586">
        <v>0</v>
      </c>
      <c r="E197" s="587"/>
      <c r="F197" s="586">
        <v>0</v>
      </c>
      <c r="G197" s="587"/>
      <c r="H197" s="586">
        <f t="shared" ref="H197" si="46">J197-F197</f>
        <v>100000</v>
      </c>
      <c r="I197" s="587"/>
      <c r="J197" s="586">
        <v>100000</v>
      </c>
      <c r="K197" s="587"/>
      <c r="L197" s="586">
        <v>0</v>
      </c>
      <c r="M197" s="588"/>
    </row>
    <row r="198" spans="1:13" s="589" customFormat="1" ht="12.95" customHeight="1">
      <c r="A198" s="584" t="s">
        <v>954</v>
      </c>
      <c r="B198" s="665" t="s">
        <v>148</v>
      </c>
      <c r="C198" s="585"/>
      <c r="D198" s="586"/>
      <c r="E198" s="587"/>
      <c r="F198" s="586"/>
      <c r="G198" s="587"/>
      <c r="H198" s="586"/>
      <c r="I198" s="587"/>
      <c r="J198" s="586"/>
      <c r="K198" s="587"/>
      <c r="L198" s="586"/>
      <c r="M198" s="588"/>
    </row>
    <row r="199" spans="1:13" s="589" customFormat="1" ht="12.95" customHeight="1">
      <c r="A199" s="584" t="s">
        <v>644</v>
      </c>
      <c r="B199" s="665"/>
      <c r="C199" s="585"/>
      <c r="D199" s="586">
        <v>0</v>
      </c>
      <c r="E199" s="587"/>
      <c r="F199" s="586">
        <v>0</v>
      </c>
      <c r="G199" s="587"/>
      <c r="H199" s="586">
        <f t="shared" ref="H199" si="47">J199-F199</f>
        <v>70000</v>
      </c>
      <c r="I199" s="587"/>
      <c r="J199" s="586">
        <v>70000</v>
      </c>
      <c r="K199" s="587"/>
      <c r="L199" s="586">
        <v>0</v>
      </c>
      <c r="M199" s="588"/>
    </row>
    <row r="200" spans="1:13" s="589" customFormat="1" ht="12.95" customHeight="1">
      <c r="A200" s="584" t="s">
        <v>1534</v>
      </c>
      <c r="B200" s="665"/>
      <c r="C200" s="585"/>
      <c r="D200" s="586"/>
      <c r="E200" s="587"/>
      <c r="F200" s="586"/>
      <c r="G200" s="587"/>
      <c r="H200" s="586"/>
      <c r="I200" s="587"/>
      <c r="J200" s="586"/>
      <c r="K200" s="587"/>
      <c r="L200" s="586"/>
      <c r="M200" s="588"/>
    </row>
    <row r="201" spans="1:13" s="589" customFormat="1" ht="12.95" customHeight="1">
      <c r="A201" s="584" t="s">
        <v>952</v>
      </c>
      <c r="B201" s="665"/>
      <c r="C201" s="585"/>
      <c r="D201" s="586"/>
      <c r="E201" s="587"/>
      <c r="F201" s="586"/>
      <c r="G201" s="587"/>
      <c r="H201" s="586"/>
      <c r="I201" s="587"/>
      <c r="J201" s="586"/>
      <c r="K201" s="587"/>
      <c r="L201" s="586"/>
      <c r="M201" s="588"/>
    </row>
    <row r="202" spans="1:13" s="589" customFormat="1" ht="12.95" customHeight="1">
      <c r="A202" s="584" t="s">
        <v>700</v>
      </c>
      <c r="B202" s="665" t="s">
        <v>126</v>
      </c>
      <c r="C202" s="585"/>
      <c r="D202" s="586">
        <v>0</v>
      </c>
      <c r="E202" s="587"/>
      <c r="F202" s="586">
        <v>0</v>
      </c>
      <c r="G202" s="587"/>
      <c r="H202" s="586">
        <f t="shared" ref="H202" si="48">J202-F202</f>
        <v>0</v>
      </c>
      <c r="I202" s="587"/>
      <c r="J202" s="586">
        <v>0</v>
      </c>
      <c r="K202" s="587"/>
      <c r="L202" s="586">
        <v>110000</v>
      </c>
      <c r="M202" s="588"/>
    </row>
    <row r="203" spans="1:13" s="589" customFormat="1" ht="12.95" customHeight="1">
      <c r="A203" s="584" t="s">
        <v>701</v>
      </c>
      <c r="B203" s="665" t="s">
        <v>127</v>
      </c>
      <c r="C203" s="585"/>
      <c r="D203" s="586">
        <v>0</v>
      </c>
      <c r="E203" s="587"/>
      <c r="F203" s="586">
        <v>0</v>
      </c>
      <c r="G203" s="587"/>
      <c r="H203" s="586">
        <f t="shared" ref="H203:H204" si="49">J203-F203</f>
        <v>0</v>
      </c>
      <c r="I203" s="587"/>
      <c r="J203" s="586">
        <v>0</v>
      </c>
      <c r="K203" s="587"/>
      <c r="L203" s="586">
        <v>110000</v>
      </c>
      <c r="M203" s="588"/>
    </row>
    <row r="204" spans="1:13" s="589" customFormat="1" ht="12.95" customHeight="1">
      <c r="A204" s="584" t="s">
        <v>699</v>
      </c>
      <c r="B204" s="665" t="s">
        <v>128</v>
      </c>
      <c r="C204" s="585"/>
      <c r="D204" s="586">
        <v>0</v>
      </c>
      <c r="E204" s="587"/>
      <c r="F204" s="586">
        <v>0</v>
      </c>
      <c r="G204" s="587"/>
      <c r="H204" s="586">
        <f t="shared" si="49"/>
        <v>0</v>
      </c>
      <c r="I204" s="587"/>
      <c r="J204" s="586">
        <v>0</v>
      </c>
      <c r="K204" s="587"/>
      <c r="L204" s="586">
        <v>60846</v>
      </c>
      <c r="M204" s="588"/>
    </row>
    <row r="205" spans="1:13" s="589" customFormat="1" ht="12.95" customHeight="1">
      <c r="A205" s="584" t="s">
        <v>1537</v>
      </c>
      <c r="B205" s="665" t="s">
        <v>174</v>
      </c>
      <c r="C205" s="585"/>
      <c r="D205" s="586">
        <v>0</v>
      </c>
      <c r="E205" s="587"/>
      <c r="F205" s="586">
        <v>0</v>
      </c>
      <c r="G205" s="587"/>
      <c r="H205" s="586">
        <f t="shared" ref="H205" si="50">J205-F205</f>
        <v>0</v>
      </c>
      <c r="I205" s="587"/>
      <c r="J205" s="586">
        <v>0</v>
      </c>
      <c r="K205" s="587"/>
      <c r="L205" s="586">
        <v>230000</v>
      </c>
      <c r="M205" s="588"/>
    </row>
    <row r="206" spans="1:13" s="589" customFormat="1" ht="12.95" customHeight="1">
      <c r="A206" s="584" t="s">
        <v>954</v>
      </c>
      <c r="B206" s="665" t="s">
        <v>148</v>
      </c>
      <c r="C206" s="585"/>
      <c r="D206" s="586"/>
      <c r="E206" s="587"/>
      <c r="F206" s="586"/>
      <c r="G206" s="587"/>
      <c r="H206" s="586"/>
      <c r="I206" s="587"/>
      <c r="J206" s="586"/>
      <c r="K206" s="587"/>
      <c r="L206" s="586"/>
      <c r="M206" s="588"/>
    </row>
    <row r="207" spans="1:13" s="589" customFormat="1" ht="12.95" customHeight="1">
      <c r="A207" s="584" t="s">
        <v>644</v>
      </c>
      <c r="B207" s="665"/>
      <c r="C207" s="585"/>
      <c r="D207" s="586">
        <v>0</v>
      </c>
      <c r="E207" s="587"/>
      <c r="F207" s="586">
        <v>0</v>
      </c>
      <c r="G207" s="587"/>
      <c r="H207" s="586">
        <f t="shared" ref="H207" si="51">J207-F207</f>
        <v>0</v>
      </c>
      <c r="I207" s="587"/>
      <c r="J207" s="586">
        <v>0</v>
      </c>
      <c r="K207" s="587"/>
      <c r="L207" s="586">
        <v>240000</v>
      </c>
      <c r="M207" s="588"/>
    </row>
    <row r="208" spans="1:13" s="589" customFormat="1" ht="12.95" customHeight="1">
      <c r="A208" s="584" t="s">
        <v>1535</v>
      </c>
      <c r="B208" s="665"/>
      <c r="C208" s="585"/>
      <c r="D208" s="586">
        <v>0</v>
      </c>
      <c r="E208" s="587"/>
      <c r="F208" s="586">
        <v>0</v>
      </c>
      <c r="G208" s="587"/>
      <c r="H208" s="586">
        <f t="shared" ref="H208" si="52">J208-F208</f>
        <v>0</v>
      </c>
      <c r="I208" s="587"/>
      <c r="J208" s="586">
        <v>0</v>
      </c>
      <c r="K208" s="587"/>
      <c r="L208" s="586">
        <v>80000</v>
      </c>
      <c r="M208" s="588"/>
    </row>
    <row r="209" spans="1:13" s="589" customFormat="1" ht="12.95" customHeight="1">
      <c r="A209" s="584" t="s">
        <v>869</v>
      </c>
      <c r="B209" s="665"/>
      <c r="C209" s="585"/>
      <c r="D209" s="586"/>
      <c r="E209" s="587"/>
      <c r="F209" s="586"/>
      <c r="G209" s="587"/>
      <c r="H209" s="586"/>
      <c r="I209" s="587"/>
      <c r="J209" s="586"/>
      <c r="K209" s="587"/>
      <c r="L209" s="586"/>
      <c r="M209" s="588"/>
    </row>
    <row r="210" spans="1:13" s="589" customFormat="1" ht="12.95" customHeight="1">
      <c r="A210" s="584" t="s">
        <v>1369</v>
      </c>
      <c r="B210" s="665" t="s">
        <v>149</v>
      </c>
      <c r="C210" s="585"/>
      <c r="D210" s="586"/>
      <c r="E210" s="587"/>
      <c r="F210" s="586"/>
      <c r="G210" s="587"/>
      <c r="H210" s="586"/>
      <c r="I210" s="587"/>
      <c r="J210" s="586"/>
      <c r="K210" s="587"/>
      <c r="L210" s="586"/>
      <c r="M210" s="588"/>
    </row>
    <row r="211" spans="1:13" s="589" customFormat="1" ht="12.95" customHeight="1">
      <c r="A211" s="584" t="s">
        <v>1536</v>
      </c>
      <c r="B211" s="665"/>
      <c r="C211" s="585"/>
      <c r="D211" s="586">
        <v>0</v>
      </c>
      <c r="E211" s="587"/>
      <c r="F211" s="586">
        <v>0</v>
      </c>
      <c r="G211" s="587"/>
      <c r="H211" s="586">
        <f t="shared" ref="H211" si="53">J211-F211</f>
        <v>0</v>
      </c>
      <c r="I211" s="587"/>
      <c r="J211" s="586">
        <v>0</v>
      </c>
      <c r="K211" s="587"/>
      <c r="L211" s="586">
        <v>180000</v>
      </c>
      <c r="M211" s="588"/>
    </row>
    <row r="212" spans="1:13" s="589" customFormat="1" ht="12.95" customHeight="1">
      <c r="A212" s="584" t="s">
        <v>1538</v>
      </c>
      <c r="B212" s="665"/>
      <c r="C212" s="585"/>
      <c r="D212" s="586"/>
      <c r="E212" s="587"/>
      <c r="F212" s="586"/>
      <c r="G212" s="587"/>
      <c r="H212" s="586"/>
      <c r="I212" s="587"/>
      <c r="J212" s="586"/>
      <c r="K212" s="587"/>
      <c r="L212" s="586"/>
      <c r="M212" s="588"/>
    </row>
    <row r="213" spans="1:13" s="589" customFormat="1" ht="12.95" customHeight="1">
      <c r="A213" s="584" t="s">
        <v>1539</v>
      </c>
      <c r="B213" s="665"/>
      <c r="C213" s="585"/>
      <c r="D213" s="586"/>
      <c r="E213" s="587"/>
      <c r="F213" s="586"/>
      <c r="G213" s="587"/>
      <c r="H213" s="586"/>
      <c r="I213" s="587"/>
      <c r="J213" s="586"/>
      <c r="K213" s="587"/>
      <c r="L213" s="586"/>
      <c r="M213" s="588"/>
    </row>
    <row r="214" spans="1:13" s="589" customFormat="1" ht="12.95" customHeight="1">
      <c r="A214" s="584" t="s">
        <v>952</v>
      </c>
      <c r="B214" s="665"/>
      <c r="C214" s="585"/>
      <c r="D214" s="586"/>
      <c r="E214" s="587"/>
      <c r="F214" s="586"/>
      <c r="G214" s="587"/>
      <c r="H214" s="586"/>
      <c r="I214" s="587"/>
      <c r="J214" s="586"/>
      <c r="K214" s="587"/>
      <c r="L214" s="586"/>
      <c r="M214" s="588"/>
    </row>
    <row r="215" spans="1:13" s="589" customFormat="1" ht="12.95" customHeight="1">
      <c r="A215" s="584" t="s">
        <v>700</v>
      </c>
      <c r="B215" s="665" t="s">
        <v>126</v>
      </c>
      <c r="C215" s="585"/>
      <c r="D215" s="586">
        <v>0</v>
      </c>
      <c r="E215" s="587"/>
      <c r="F215" s="586">
        <v>0</v>
      </c>
      <c r="G215" s="587"/>
      <c r="H215" s="586">
        <f t="shared" ref="H215:H216" si="54">J215-F215</f>
        <v>0</v>
      </c>
      <c r="I215" s="587"/>
      <c r="J215" s="586">
        <v>0</v>
      </c>
      <c r="K215" s="587"/>
      <c r="L215" s="586">
        <v>150000</v>
      </c>
      <c r="M215" s="588"/>
    </row>
    <row r="216" spans="1:13" s="589" customFormat="1" ht="12.95" customHeight="1">
      <c r="A216" s="584" t="s">
        <v>1537</v>
      </c>
      <c r="B216" s="665" t="s">
        <v>174</v>
      </c>
      <c r="C216" s="585"/>
      <c r="D216" s="586">
        <v>0</v>
      </c>
      <c r="E216" s="587"/>
      <c r="F216" s="586">
        <v>0</v>
      </c>
      <c r="G216" s="587"/>
      <c r="H216" s="586">
        <f t="shared" si="54"/>
        <v>0</v>
      </c>
      <c r="I216" s="587"/>
      <c r="J216" s="586">
        <v>0</v>
      </c>
      <c r="K216" s="587"/>
      <c r="L216" s="586">
        <v>75000</v>
      </c>
      <c r="M216" s="588"/>
    </row>
    <row r="217" spans="1:13" s="589" customFormat="1" ht="12.95" customHeight="1">
      <c r="A217" s="584" t="s">
        <v>954</v>
      </c>
      <c r="B217" s="665" t="s">
        <v>148</v>
      </c>
      <c r="C217" s="585"/>
      <c r="D217" s="586"/>
      <c r="E217" s="587"/>
      <c r="F217" s="586"/>
      <c r="G217" s="587"/>
      <c r="H217" s="586"/>
      <c r="I217" s="587"/>
      <c r="J217" s="586"/>
      <c r="K217" s="587"/>
      <c r="L217" s="586"/>
      <c r="M217" s="588"/>
    </row>
    <row r="218" spans="1:13" s="589" customFormat="1" ht="12.95" customHeight="1">
      <c r="A218" s="584" t="s">
        <v>1543</v>
      </c>
      <c r="B218" s="665"/>
      <c r="C218" s="585"/>
      <c r="D218" s="586">
        <v>0</v>
      </c>
      <c r="E218" s="587"/>
      <c r="F218" s="586">
        <v>0</v>
      </c>
      <c r="G218" s="587"/>
      <c r="H218" s="586">
        <f t="shared" ref="H218:H220" si="55">J218-F218</f>
        <v>0</v>
      </c>
      <c r="I218" s="587"/>
      <c r="J218" s="586">
        <v>0</v>
      </c>
      <c r="K218" s="587"/>
      <c r="L218" s="586">
        <v>300000</v>
      </c>
      <c r="M218" s="588"/>
    </row>
    <row r="219" spans="1:13" s="589" customFormat="1" ht="12.95" customHeight="1">
      <c r="A219" s="584" t="s">
        <v>1540</v>
      </c>
      <c r="B219" s="665"/>
      <c r="C219" s="585"/>
      <c r="D219" s="586">
        <v>0</v>
      </c>
      <c r="E219" s="587"/>
      <c r="F219" s="586">
        <v>0</v>
      </c>
      <c r="G219" s="587"/>
      <c r="H219" s="586">
        <f t="shared" si="55"/>
        <v>0</v>
      </c>
      <c r="I219" s="587"/>
      <c r="J219" s="586">
        <v>0</v>
      </c>
      <c r="K219" s="587"/>
      <c r="L219" s="586">
        <v>300000</v>
      </c>
      <c r="M219" s="588"/>
    </row>
    <row r="220" spans="1:13" s="589" customFormat="1" ht="12.95" customHeight="1">
      <c r="A220" s="584" t="s">
        <v>1541</v>
      </c>
      <c r="B220" s="665"/>
      <c r="C220" s="585"/>
      <c r="D220" s="586">
        <v>0</v>
      </c>
      <c r="E220" s="587"/>
      <c r="F220" s="586">
        <v>0</v>
      </c>
      <c r="G220" s="587"/>
      <c r="H220" s="586">
        <f t="shared" si="55"/>
        <v>0</v>
      </c>
      <c r="I220" s="587"/>
      <c r="J220" s="586">
        <v>0</v>
      </c>
      <c r="K220" s="587"/>
      <c r="L220" s="586">
        <v>25000</v>
      </c>
      <c r="M220" s="588"/>
    </row>
    <row r="221" spans="1:13" s="589" customFormat="1" ht="12.95" customHeight="1">
      <c r="A221" s="592" t="s">
        <v>1542</v>
      </c>
      <c r="B221" s="666"/>
      <c r="C221" s="594"/>
      <c r="D221" s="595"/>
      <c r="E221" s="596"/>
      <c r="F221" s="595"/>
      <c r="G221" s="596"/>
      <c r="H221" s="595"/>
      <c r="I221" s="596"/>
      <c r="J221" s="595"/>
      <c r="K221" s="596"/>
      <c r="L221" s="595"/>
      <c r="M221" s="588"/>
    </row>
    <row r="222" spans="1:13" s="589" customFormat="1" ht="12.95" customHeight="1">
      <c r="A222" s="584" t="s">
        <v>952</v>
      </c>
      <c r="B222" s="665"/>
      <c r="C222" s="585"/>
      <c r="D222" s="586"/>
      <c r="E222" s="587"/>
      <c r="F222" s="586"/>
      <c r="G222" s="587"/>
      <c r="H222" s="586"/>
      <c r="I222" s="587"/>
      <c r="J222" s="586"/>
      <c r="K222" s="587"/>
      <c r="L222" s="586"/>
      <c r="M222" s="588"/>
    </row>
    <row r="223" spans="1:13" s="589" customFormat="1" ht="12.95" customHeight="1">
      <c r="A223" s="584" t="s">
        <v>700</v>
      </c>
      <c r="B223" s="665" t="s">
        <v>126</v>
      </c>
      <c r="C223" s="585"/>
      <c r="D223" s="586">
        <v>0</v>
      </c>
      <c r="E223" s="587"/>
      <c r="F223" s="586">
        <v>0</v>
      </c>
      <c r="G223" s="587"/>
      <c r="H223" s="586">
        <f t="shared" ref="H223" si="56">J223-F223</f>
        <v>0</v>
      </c>
      <c r="I223" s="587"/>
      <c r="J223" s="586">
        <v>0</v>
      </c>
      <c r="K223" s="587"/>
      <c r="L223" s="586">
        <v>300000</v>
      </c>
      <c r="M223" s="588"/>
    </row>
    <row r="224" spans="1:13" s="589" customFormat="1" ht="12.95" customHeight="1">
      <c r="A224" s="584" t="s">
        <v>954</v>
      </c>
      <c r="B224" s="665" t="s">
        <v>148</v>
      </c>
      <c r="C224" s="585"/>
      <c r="D224" s="586"/>
      <c r="E224" s="587"/>
      <c r="F224" s="586"/>
      <c r="G224" s="587"/>
      <c r="H224" s="586"/>
      <c r="I224" s="587"/>
      <c r="J224" s="586"/>
      <c r="K224" s="587"/>
      <c r="L224" s="586"/>
      <c r="M224" s="588"/>
    </row>
    <row r="225" spans="1:13" s="589" customFormat="1" ht="12.95" customHeight="1">
      <c r="A225" s="584" t="s">
        <v>1544</v>
      </c>
      <c r="B225" s="665"/>
      <c r="C225" s="585"/>
      <c r="D225" s="586">
        <v>0</v>
      </c>
      <c r="E225" s="587"/>
      <c r="F225" s="586">
        <v>0</v>
      </c>
      <c r="G225" s="587"/>
      <c r="H225" s="586">
        <f t="shared" ref="H225:H227" si="57">J225-F225</f>
        <v>0</v>
      </c>
      <c r="I225" s="587"/>
      <c r="J225" s="586">
        <v>0</v>
      </c>
      <c r="K225" s="587"/>
      <c r="L225" s="586">
        <v>100000</v>
      </c>
      <c r="M225" s="588"/>
    </row>
    <row r="226" spans="1:13" s="589" customFormat="1" ht="12.95" customHeight="1">
      <c r="A226" s="584" t="s">
        <v>1540</v>
      </c>
      <c r="B226" s="665"/>
      <c r="C226" s="585"/>
      <c r="D226" s="586">
        <v>0</v>
      </c>
      <c r="E226" s="587"/>
      <c r="F226" s="586">
        <v>0</v>
      </c>
      <c r="G226" s="587"/>
      <c r="H226" s="586">
        <f t="shared" si="57"/>
        <v>0</v>
      </c>
      <c r="I226" s="587"/>
      <c r="J226" s="586">
        <v>0</v>
      </c>
      <c r="K226" s="587"/>
      <c r="L226" s="586">
        <v>150000</v>
      </c>
      <c r="M226" s="588"/>
    </row>
    <row r="227" spans="1:13" s="589" customFormat="1" ht="12.95" customHeight="1">
      <c r="A227" s="584" t="s">
        <v>1541</v>
      </c>
      <c r="B227" s="665"/>
      <c r="C227" s="585"/>
      <c r="D227" s="586">
        <v>0</v>
      </c>
      <c r="E227" s="587"/>
      <c r="F227" s="586">
        <v>0</v>
      </c>
      <c r="G227" s="587"/>
      <c r="H227" s="586">
        <f t="shared" si="57"/>
        <v>0</v>
      </c>
      <c r="I227" s="587"/>
      <c r="J227" s="586">
        <v>0</v>
      </c>
      <c r="K227" s="587"/>
      <c r="L227" s="586">
        <v>50000</v>
      </c>
      <c r="M227" s="588"/>
    </row>
    <row r="228" spans="1:13" s="589" customFormat="1" ht="12.95" customHeight="1">
      <c r="A228" s="584" t="s">
        <v>1545</v>
      </c>
      <c r="B228" s="665"/>
      <c r="C228" s="585"/>
      <c r="D228" s="586"/>
      <c r="E228" s="587"/>
      <c r="F228" s="586"/>
      <c r="G228" s="587"/>
      <c r="H228" s="586"/>
      <c r="I228" s="587"/>
      <c r="J228" s="586"/>
      <c r="K228" s="587"/>
      <c r="L228" s="586"/>
      <c r="M228" s="588"/>
    </row>
    <row r="229" spans="1:13" s="589" customFormat="1" ht="12.95" customHeight="1">
      <c r="A229" s="584" t="s">
        <v>1546</v>
      </c>
      <c r="B229" s="665"/>
      <c r="C229" s="585"/>
      <c r="D229" s="586"/>
      <c r="E229" s="587"/>
      <c r="F229" s="586"/>
      <c r="G229" s="587"/>
      <c r="H229" s="586"/>
      <c r="I229" s="587"/>
      <c r="J229" s="586"/>
      <c r="K229" s="587"/>
      <c r="L229" s="586"/>
      <c r="M229" s="588"/>
    </row>
    <row r="230" spans="1:13" s="589" customFormat="1" ht="12.95" customHeight="1">
      <c r="A230" s="584" t="s">
        <v>952</v>
      </c>
      <c r="B230" s="665"/>
      <c r="C230" s="585"/>
      <c r="D230" s="586"/>
      <c r="E230" s="587"/>
      <c r="F230" s="586"/>
      <c r="G230" s="587"/>
      <c r="H230" s="586"/>
      <c r="I230" s="587"/>
      <c r="J230" s="586"/>
      <c r="K230" s="587"/>
      <c r="L230" s="586"/>
      <c r="M230" s="588"/>
    </row>
    <row r="231" spans="1:13" s="589" customFormat="1" ht="12.95" customHeight="1">
      <c r="A231" s="584" t="s">
        <v>700</v>
      </c>
      <c r="B231" s="665" t="s">
        <v>126</v>
      </c>
      <c r="C231" s="585"/>
      <c r="D231" s="586">
        <v>0</v>
      </c>
      <c r="E231" s="587"/>
      <c r="F231" s="586">
        <v>0</v>
      </c>
      <c r="G231" s="587"/>
      <c r="H231" s="586">
        <f t="shared" ref="H231" si="58">J231-F231</f>
        <v>0</v>
      </c>
      <c r="I231" s="587"/>
      <c r="J231" s="586">
        <v>0</v>
      </c>
      <c r="K231" s="587"/>
      <c r="L231" s="586">
        <v>150000</v>
      </c>
      <c r="M231" s="588"/>
    </row>
    <row r="232" spans="1:13" s="589" customFormat="1" ht="12.95" customHeight="1">
      <c r="A232" s="584" t="s">
        <v>812</v>
      </c>
      <c r="B232" s="665" t="s">
        <v>174</v>
      </c>
      <c r="C232" s="585"/>
      <c r="D232" s="586">
        <v>0</v>
      </c>
      <c r="E232" s="587"/>
      <c r="F232" s="586">
        <v>0</v>
      </c>
      <c r="G232" s="587"/>
      <c r="H232" s="586">
        <f t="shared" ref="H232" si="59">J232-F232</f>
        <v>0</v>
      </c>
      <c r="I232" s="587"/>
      <c r="J232" s="586">
        <v>0</v>
      </c>
      <c r="K232" s="587"/>
      <c r="L232" s="586">
        <v>50000</v>
      </c>
      <c r="M232" s="588"/>
    </row>
    <row r="233" spans="1:13" s="589" customFormat="1" ht="12.95" customHeight="1">
      <c r="A233" s="584" t="s">
        <v>954</v>
      </c>
      <c r="B233" s="665" t="s">
        <v>148</v>
      </c>
      <c r="C233" s="585"/>
      <c r="D233" s="586"/>
      <c r="E233" s="587"/>
      <c r="F233" s="586"/>
      <c r="G233" s="587"/>
      <c r="H233" s="586"/>
      <c r="I233" s="587"/>
      <c r="J233" s="586"/>
      <c r="K233" s="587"/>
      <c r="L233" s="586"/>
      <c r="M233" s="588"/>
    </row>
    <row r="234" spans="1:13" s="589" customFormat="1" ht="12.95" customHeight="1">
      <c r="A234" s="584" t="s">
        <v>1544</v>
      </c>
      <c r="B234" s="665"/>
      <c r="C234" s="585"/>
      <c r="D234" s="586">
        <v>0</v>
      </c>
      <c r="E234" s="587"/>
      <c r="F234" s="586">
        <v>0</v>
      </c>
      <c r="G234" s="587"/>
      <c r="H234" s="586">
        <f t="shared" ref="H234" si="60">J234-F234</f>
        <v>0</v>
      </c>
      <c r="I234" s="587"/>
      <c r="J234" s="586">
        <v>0</v>
      </c>
      <c r="K234" s="587"/>
      <c r="L234" s="586">
        <v>100000</v>
      </c>
      <c r="M234" s="588"/>
    </row>
    <row r="235" spans="1:13" s="589" customFormat="1" ht="12.95" customHeight="1">
      <c r="A235" s="584" t="s">
        <v>1540</v>
      </c>
      <c r="B235" s="665"/>
      <c r="C235" s="585"/>
      <c r="D235" s="586">
        <v>0</v>
      </c>
      <c r="E235" s="587"/>
      <c r="F235" s="586">
        <v>0</v>
      </c>
      <c r="G235" s="587"/>
      <c r="H235" s="586">
        <f t="shared" ref="H235" si="61">J235-F235</f>
        <v>0</v>
      </c>
      <c r="I235" s="587"/>
      <c r="J235" s="586">
        <v>0</v>
      </c>
      <c r="K235" s="587"/>
      <c r="L235" s="586">
        <v>200000</v>
      </c>
      <c r="M235" s="588"/>
    </row>
    <row r="236" spans="1:13" s="589" customFormat="1" ht="12.95" customHeight="1">
      <c r="A236" s="584" t="s">
        <v>1547</v>
      </c>
      <c r="B236" s="665"/>
      <c r="C236" s="585"/>
      <c r="D236" s="586"/>
      <c r="E236" s="587"/>
      <c r="F236" s="586"/>
      <c r="G236" s="587"/>
      <c r="H236" s="586"/>
      <c r="I236" s="587"/>
      <c r="J236" s="586"/>
      <c r="K236" s="587"/>
      <c r="L236" s="586"/>
      <c r="M236" s="588"/>
    </row>
    <row r="237" spans="1:13" s="589" customFormat="1" ht="12.95" customHeight="1">
      <c r="A237" s="584" t="s">
        <v>952</v>
      </c>
      <c r="B237" s="665"/>
      <c r="C237" s="585"/>
      <c r="D237" s="586"/>
      <c r="E237" s="587"/>
      <c r="F237" s="586"/>
      <c r="G237" s="587"/>
      <c r="H237" s="586"/>
      <c r="I237" s="587"/>
      <c r="J237" s="586"/>
      <c r="K237" s="587"/>
      <c r="L237" s="586"/>
      <c r="M237" s="588"/>
    </row>
    <row r="238" spans="1:13" s="589" customFormat="1" ht="12.95" customHeight="1">
      <c r="A238" s="584" t="s">
        <v>700</v>
      </c>
      <c r="B238" s="665" t="s">
        <v>126</v>
      </c>
      <c r="C238" s="585"/>
      <c r="D238" s="586">
        <v>0</v>
      </c>
      <c r="E238" s="587"/>
      <c r="F238" s="586">
        <v>0</v>
      </c>
      <c r="G238" s="587"/>
      <c r="H238" s="586">
        <f t="shared" ref="H238:H239" si="62">J238-F238</f>
        <v>0</v>
      </c>
      <c r="I238" s="587"/>
      <c r="J238" s="586">
        <v>0</v>
      </c>
      <c r="K238" s="587"/>
      <c r="L238" s="586">
        <v>150000</v>
      </c>
      <c r="M238" s="588"/>
    </row>
    <row r="239" spans="1:13" s="589" customFormat="1" ht="12.95" customHeight="1">
      <c r="A239" s="584" t="s">
        <v>812</v>
      </c>
      <c r="B239" s="665" t="s">
        <v>174</v>
      </c>
      <c r="C239" s="585"/>
      <c r="D239" s="586">
        <v>0</v>
      </c>
      <c r="E239" s="587"/>
      <c r="F239" s="586">
        <v>0</v>
      </c>
      <c r="G239" s="587"/>
      <c r="H239" s="586">
        <f t="shared" si="62"/>
        <v>0</v>
      </c>
      <c r="I239" s="587"/>
      <c r="J239" s="586">
        <v>0</v>
      </c>
      <c r="K239" s="587"/>
      <c r="L239" s="586">
        <v>100000</v>
      </c>
      <c r="M239" s="588"/>
    </row>
    <row r="240" spans="1:13" s="589" customFormat="1" ht="12.95" customHeight="1">
      <c r="A240" s="584" t="s">
        <v>954</v>
      </c>
      <c r="B240" s="665" t="s">
        <v>148</v>
      </c>
      <c r="C240" s="585"/>
      <c r="D240" s="586"/>
      <c r="E240" s="587"/>
      <c r="F240" s="586"/>
      <c r="G240" s="587"/>
      <c r="H240" s="586"/>
      <c r="I240" s="587"/>
      <c r="J240" s="586"/>
      <c r="K240" s="587"/>
      <c r="L240" s="586"/>
      <c r="M240" s="588"/>
    </row>
    <row r="241" spans="1:13" s="589" customFormat="1" ht="12.95" customHeight="1">
      <c r="A241" s="584" t="s">
        <v>1544</v>
      </c>
      <c r="B241" s="665"/>
      <c r="C241" s="585"/>
      <c r="D241" s="586">
        <v>0</v>
      </c>
      <c r="E241" s="587"/>
      <c r="F241" s="586">
        <v>0</v>
      </c>
      <c r="G241" s="587"/>
      <c r="H241" s="586">
        <f t="shared" ref="H241:H242" si="63">J241-F241</f>
        <v>0</v>
      </c>
      <c r="I241" s="587"/>
      <c r="J241" s="586">
        <v>0</v>
      </c>
      <c r="K241" s="587"/>
      <c r="L241" s="586">
        <v>150000</v>
      </c>
      <c r="M241" s="588"/>
    </row>
    <row r="242" spans="1:13" s="589" customFormat="1" ht="12.95" customHeight="1">
      <c r="A242" s="584" t="s">
        <v>1540</v>
      </c>
      <c r="B242" s="665"/>
      <c r="C242" s="585"/>
      <c r="D242" s="586">
        <v>0</v>
      </c>
      <c r="E242" s="587"/>
      <c r="F242" s="586">
        <v>0</v>
      </c>
      <c r="G242" s="587"/>
      <c r="H242" s="586">
        <f t="shared" si="63"/>
        <v>0</v>
      </c>
      <c r="I242" s="587"/>
      <c r="J242" s="586">
        <v>0</v>
      </c>
      <c r="K242" s="587"/>
      <c r="L242" s="586">
        <v>200000</v>
      </c>
      <c r="M242" s="588"/>
    </row>
    <row r="243" spans="1:13" s="589" customFormat="1" ht="12.95" customHeight="1">
      <c r="A243" s="584" t="s">
        <v>1548</v>
      </c>
      <c r="B243" s="665"/>
      <c r="C243" s="585"/>
      <c r="D243" s="586"/>
      <c r="E243" s="587"/>
      <c r="F243" s="586"/>
      <c r="G243" s="587"/>
      <c r="H243" s="586"/>
      <c r="I243" s="587"/>
      <c r="J243" s="586"/>
      <c r="K243" s="587"/>
      <c r="L243" s="586"/>
      <c r="M243" s="588"/>
    </row>
    <row r="244" spans="1:13" s="589" customFormat="1" ht="12.95" customHeight="1">
      <c r="A244" s="584" t="s">
        <v>952</v>
      </c>
      <c r="B244" s="665"/>
      <c r="C244" s="585"/>
      <c r="D244" s="586"/>
      <c r="E244" s="587"/>
      <c r="F244" s="586"/>
      <c r="G244" s="587"/>
      <c r="H244" s="586"/>
      <c r="I244" s="587"/>
      <c r="J244" s="586"/>
      <c r="K244" s="587"/>
      <c r="L244" s="586"/>
      <c r="M244" s="588"/>
    </row>
    <row r="245" spans="1:13" s="589" customFormat="1" ht="12.95" customHeight="1">
      <c r="A245" s="584" t="s">
        <v>954</v>
      </c>
      <c r="B245" s="665" t="s">
        <v>148</v>
      </c>
      <c r="C245" s="585"/>
      <c r="D245" s="586"/>
      <c r="E245" s="587"/>
      <c r="F245" s="586"/>
      <c r="G245" s="587"/>
      <c r="H245" s="586"/>
      <c r="I245" s="587"/>
      <c r="J245" s="586"/>
      <c r="K245" s="587"/>
      <c r="L245" s="586"/>
      <c r="M245" s="588"/>
    </row>
    <row r="246" spans="1:13" s="589" customFormat="1" ht="12.95" customHeight="1">
      <c r="A246" s="584" t="s">
        <v>1544</v>
      </c>
      <c r="B246" s="665"/>
      <c r="C246" s="585"/>
      <c r="D246" s="586">
        <v>0</v>
      </c>
      <c r="E246" s="587"/>
      <c r="F246" s="586">
        <v>0</v>
      </c>
      <c r="G246" s="587"/>
      <c r="H246" s="586">
        <f t="shared" ref="H246" si="64">J246-F246</f>
        <v>0</v>
      </c>
      <c r="I246" s="587"/>
      <c r="J246" s="586">
        <v>0</v>
      </c>
      <c r="K246" s="587"/>
      <c r="L246" s="586">
        <v>40000</v>
      </c>
      <c r="M246" s="588"/>
    </row>
    <row r="247" spans="1:13" s="589" customFormat="1" ht="13.15" customHeight="1">
      <c r="A247" s="584" t="s">
        <v>1549</v>
      </c>
      <c r="B247" s="665"/>
      <c r="C247" s="585"/>
      <c r="D247" s="586"/>
      <c r="E247" s="587"/>
      <c r="F247" s="586"/>
      <c r="G247" s="587"/>
      <c r="H247" s="586"/>
      <c r="I247" s="587"/>
      <c r="J247" s="586"/>
      <c r="K247" s="587"/>
      <c r="L247" s="586"/>
      <c r="M247" s="588"/>
    </row>
    <row r="248" spans="1:13" s="589" customFormat="1" ht="13.15" customHeight="1">
      <c r="A248" s="584" t="s">
        <v>952</v>
      </c>
      <c r="B248" s="665"/>
      <c r="C248" s="585"/>
      <c r="D248" s="586"/>
      <c r="E248" s="587"/>
      <c r="F248" s="586"/>
      <c r="G248" s="587"/>
      <c r="H248" s="586"/>
      <c r="I248" s="587"/>
      <c r="J248" s="586"/>
      <c r="K248" s="587"/>
      <c r="L248" s="586"/>
      <c r="M248" s="588"/>
    </row>
    <row r="249" spans="1:13" s="589" customFormat="1" ht="13.15" customHeight="1">
      <c r="A249" s="584" t="s">
        <v>1550</v>
      </c>
      <c r="B249" s="665" t="s">
        <v>1551</v>
      </c>
      <c r="C249" s="585"/>
      <c r="D249" s="586">
        <v>0</v>
      </c>
      <c r="E249" s="587"/>
      <c r="F249" s="586">
        <v>0</v>
      </c>
      <c r="G249" s="587"/>
      <c r="H249" s="586">
        <f t="shared" ref="H249" si="65">J249-F249</f>
        <v>0</v>
      </c>
      <c r="I249" s="587"/>
      <c r="J249" s="586">
        <v>0</v>
      </c>
      <c r="K249" s="587"/>
      <c r="L249" s="586">
        <v>50000</v>
      </c>
      <c r="M249" s="588"/>
    </row>
    <row r="250" spans="1:13" s="589" customFormat="1" ht="13.15" customHeight="1">
      <c r="A250" s="584" t="s">
        <v>1552</v>
      </c>
      <c r="B250" s="665"/>
      <c r="C250" s="585"/>
      <c r="D250" s="586"/>
      <c r="E250" s="587"/>
      <c r="F250" s="586"/>
      <c r="G250" s="587"/>
      <c r="H250" s="586"/>
      <c r="I250" s="587"/>
      <c r="J250" s="586"/>
      <c r="K250" s="587"/>
      <c r="L250" s="586"/>
      <c r="M250" s="588"/>
    </row>
    <row r="251" spans="1:13" s="589" customFormat="1" ht="13.15" customHeight="1">
      <c r="A251" s="584" t="s">
        <v>952</v>
      </c>
      <c r="B251" s="665"/>
      <c r="C251" s="585"/>
      <c r="D251" s="586"/>
      <c r="E251" s="587"/>
      <c r="F251" s="586"/>
      <c r="G251" s="587"/>
      <c r="H251" s="586"/>
      <c r="I251" s="587"/>
      <c r="J251" s="586"/>
      <c r="K251" s="587"/>
      <c r="L251" s="586"/>
      <c r="M251" s="588"/>
    </row>
    <row r="252" spans="1:13" s="589" customFormat="1" ht="13.15" customHeight="1">
      <c r="A252" s="584" t="s">
        <v>1537</v>
      </c>
      <c r="B252" s="665" t="s">
        <v>174</v>
      </c>
      <c r="C252" s="585"/>
      <c r="D252" s="586">
        <v>0</v>
      </c>
      <c r="E252" s="587"/>
      <c r="F252" s="586">
        <v>0</v>
      </c>
      <c r="G252" s="587"/>
      <c r="H252" s="586">
        <f t="shared" ref="H252" si="66">J252-F252</f>
        <v>0</v>
      </c>
      <c r="I252" s="587"/>
      <c r="J252" s="586">
        <v>0</v>
      </c>
      <c r="K252" s="587"/>
      <c r="L252" s="586">
        <v>100000</v>
      </c>
      <c r="M252" s="588"/>
    </row>
    <row r="253" spans="1:13" s="589" customFormat="1" ht="13.15" customHeight="1">
      <c r="A253" s="584" t="s">
        <v>1553</v>
      </c>
      <c r="B253" s="665"/>
      <c r="C253" s="585"/>
      <c r="D253" s="586"/>
      <c r="E253" s="587"/>
      <c r="F253" s="586"/>
      <c r="G253" s="587"/>
      <c r="H253" s="586"/>
      <c r="I253" s="587"/>
      <c r="J253" s="586"/>
      <c r="K253" s="587"/>
      <c r="L253" s="586"/>
      <c r="M253" s="588"/>
    </row>
    <row r="254" spans="1:13" s="589" customFormat="1" ht="13.15" customHeight="1">
      <c r="A254" s="584" t="s">
        <v>952</v>
      </c>
      <c r="B254" s="665"/>
      <c r="C254" s="585"/>
      <c r="D254" s="586"/>
      <c r="E254" s="587"/>
      <c r="F254" s="586"/>
      <c r="G254" s="587"/>
      <c r="H254" s="586"/>
      <c r="I254" s="587"/>
      <c r="J254" s="586"/>
      <c r="K254" s="587"/>
      <c r="L254" s="586"/>
      <c r="M254" s="588"/>
    </row>
    <row r="255" spans="1:13" s="589" customFormat="1" ht="13.15" customHeight="1">
      <c r="A255" s="584" t="s">
        <v>1537</v>
      </c>
      <c r="B255" s="665" t="s">
        <v>174</v>
      </c>
      <c r="C255" s="585"/>
      <c r="D255" s="586">
        <v>0</v>
      </c>
      <c r="E255" s="587"/>
      <c r="F255" s="586">
        <v>0</v>
      </c>
      <c r="G255" s="587"/>
      <c r="H255" s="586">
        <f t="shared" ref="H255" si="67">J255-F255</f>
        <v>0</v>
      </c>
      <c r="I255" s="587"/>
      <c r="J255" s="586">
        <v>0</v>
      </c>
      <c r="K255" s="587"/>
      <c r="L255" s="586">
        <v>100000</v>
      </c>
      <c r="M255" s="588"/>
    </row>
    <row r="256" spans="1:13" s="589" customFormat="1" ht="13.15" customHeight="1">
      <c r="A256" s="584" t="s">
        <v>1554</v>
      </c>
      <c r="B256" s="665"/>
      <c r="C256" s="585"/>
      <c r="D256" s="586"/>
      <c r="E256" s="587"/>
      <c r="F256" s="586"/>
      <c r="G256" s="587"/>
      <c r="H256" s="586"/>
      <c r="I256" s="587"/>
      <c r="J256" s="586"/>
      <c r="K256" s="587"/>
      <c r="L256" s="586"/>
      <c r="M256" s="588"/>
    </row>
    <row r="257" spans="1:13" s="589" customFormat="1" ht="13.15" customHeight="1">
      <c r="A257" s="584" t="s">
        <v>952</v>
      </c>
      <c r="B257" s="665"/>
      <c r="C257" s="585"/>
      <c r="D257" s="586"/>
      <c r="E257" s="587"/>
      <c r="F257" s="586"/>
      <c r="G257" s="587"/>
      <c r="H257" s="586"/>
      <c r="I257" s="587"/>
      <c r="J257" s="586"/>
      <c r="K257" s="587"/>
      <c r="L257" s="586"/>
      <c r="M257" s="588"/>
    </row>
    <row r="258" spans="1:13" s="589" customFormat="1" ht="13.15" customHeight="1">
      <c r="A258" s="584" t="s">
        <v>630</v>
      </c>
      <c r="B258" s="665" t="s">
        <v>148</v>
      </c>
      <c r="C258" s="585"/>
      <c r="D258" s="586"/>
      <c r="E258" s="587"/>
      <c r="F258" s="586"/>
      <c r="G258" s="587"/>
      <c r="H258" s="586"/>
      <c r="I258" s="587"/>
      <c r="J258" s="586"/>
      <c r="K258" s="587"/>
      <c r="L258" s="586"/>
      <c r="M258" s="588"/>
    </row>
    <row r="259" spans="1:13" s="589" customFormat="1" ht="13.15" customHeight="1">
      <c r="A259" s="584" t="s">
        <v>1555</v>
      </c>
      <c r="B259" s="665"/>
      <c r="C259" s="585"/>
      <c r="D259" s="586">
        <v>0</v>
      </c>
      <c r="E259" s="587"/>
      <c r="F259" s="586">
        <v>0</v>
      </c>
      <c r="G259" s="587"/>
      <c r="H259" s="586">
        <f t="shared" ref="H259" si="68">J259-F259</f>
        <v>0</v>
      </c>
      <c r="I259" s="587"/>
      <c r="J259" s="586">
        <v>0</v>
      </c>
      <c r="K259" s="587"/>
      <c r="L259" s="586">
        <v>80000</v>
      </c>
      <c r="M259" s="588"/>
    </row>
    <row r="260" spans="1:13" s="589" customFormat="1" ht="12.95" customHeight="1">
      <c r="A260" s="584" t="s">
        <v>941</v>
      </c>
      <c r="B260" s="664"/>
      <c r="C260" s="585"/>
      <c r="D260" s="586"/>
      <c r="E260" s="587"/>
      <c r="F260" s="586"/>
      <c r="G260" s="587"/>
      <c r="H260" s="586"/>
      <c r="I260" s="587"/>
      <c r="J260" s="586"/>
      <c r="K260" s="587"/>
      <c r="L260" s="586"/>
      <c r="M260" s="588"/>
    </row>
    <row r="261" spans="1:13" s="589" customFormat="1" ht="12.95" customHeight="1">
      <c r="A261" s="584" t="s">
        <v>869</v>
      </c>
      <c r="B261" s="664"/>
      <c r="C261" s="585"/>
      <c r="D261" s="586"/>
      <c r="E261" s="587"/>
      <c r="F261" s="586"/>
      <c r="G261" s="585"/>
      <c r="H261" s="586"/>
      <c r="I261" s="587"/>
      <c r="J261" s="586"/>
      <c r="K261" s="585"/>
      <c r="L261" s="586"/>
      <c r="M261" s="588"/>
    </row>
    <row r="262" spans="1:13" s="589" customFormat="1" ht="12.95" customHeight="1">
      <c r="A262" s="584" t="s">
        <v>1494</v>
      </c>
      <c r="B262" s="664" t="s">
        <v>155</v>
      </c>
      <c r="C262" s="585"/>
      <c r="D262" s="586"/>
      <c r="E262" s="587"/>
      <c r="F262" s="586"/>
      <c r="G262" s="585"/>
      <c r="H262" s="586"/>
      <c r="I262" s="587"/>
      <c r="J262" s="586"/>
      <c r="K262" s="585"/>
      <c r="L262" s="586"/>
      <c r="M262" s="588"/>
    </row>
    <row r="263" spans="1:13" s="589" customFormat="1" ht="12.95" customHeight="1">
      <c r="A263" s="584" t="s">
        <v>1495</v>
      </c>
      <c r="B263" s="664"/>
      <c r="C263" s="585"/>
      <c r="D263" s="586">
        <v>194200</v>
      </c>
      <c r="E263" s="587"/>
      <c r="F263" s="586">
        <v>0</v>
      </c>
      <c r="G263" s="585"/>
      <c r="H263" s="586">
        <f>J263-F263</f>
        <v>0</v>
      </c>
      <c r="I263" s="587"/>
      <c r="J263" s="586">
        <v>0</v>
      </c>
      <c r="K263" s="585"/>
      <c r="L263" s="586">
        <v>0</v>
      </c>
      <c r="M263" s="588"/>
    </row>
    <row r="264" spans="1:13" s="589" customFormat="1" ht="12.75" customHeight="1">
      <c r="A264" s="584" t="s">
        <v>1496</v>
      </c>
      <c r="B264" s="664"/>
      <c r="C264" s="585"/>
      <c r="D264" s="586"/>
      <c r="E264" s="587"/>
      <c r="F264" s="586"/>
      <c r="G264" s="585"/>
      <c r="H264" s="586"/>
      <c r="I264" s="587"/>
      <c r="J264" s="586"/>
      <c r="K264" s="585"/>
      <c r="L264" s="586"/>
      <c r="M264" s="588"/>
    </row>
    <row r="265" spans="1:13" s="589" customFormat="1" ht="12.95" customHeight="1">
      <c r="A265" s="584" t="s">
        <v>869</v>
      </c>
      <c r="B265" s="664"/>
      <c r="C265" s="585"/>
      <c r="D265" s="586"/>
      <c r="E265" s="587"/>
      <c r="F265" s="586"/>
      <c r="G265" s="585"/>
      <c r="H265" s="586"/>
      <c r="I265" s="587"/>
      <c r="J265" s="586"/>
      <c r="K265" s="585"/>
      <c r="L265" s="586"/>
      <c r="M265" s="588"/>
    </row>
    <row r="266" spans="1:13" s="589" customFormat="1" ht="12.95" customHeight="1">
      <c r="A266" s="584" t="s">
        <v>1497</v>
      </c>
      <c r="B266" s="664" t="s">
        <v>156</v>
      </c>
      <c r="C266" s="585"/>
      <c r="D266" s="586"/>
      <c r="E266" s="587"/>
      <c r="F266" s="586"/>
      <c r="G266" s="585"/>
      <c r="H266" s="586"/>
      <c r="I266" s="587"/>
      <c r="J266" s="586"/>
      <c r="K266" s="585"/>
      <c r="L266" s="586"/>
      <c r="M266" s="588"/>
    </row>
    <row r="267" spans="1:13" s="589" customFormat="1" ht="12.95" customHeight="1">
      <c r="A267" s="584" t="s">
        <v>1498</v>
      </c>
      <c r="B267" s="664"/>
      <c r="C267" s="585"/>
      <c r="D267" s="586">
        <v>0</v>
      </c>
      <c r="E267" s="587"/>
      <c r="F267" s="586">
        <v>0</v>
      </c>
      <c r="G267" s="585"/>
      <c r="H267" s="586">
        <f>J267-F267</f>
        <v>0</v>
      </c>
      <c r="I267" s="587"/>
      <c r="J267" s="586">
        <v>0</v>
      </c>
      <c r="K267" s="585"/>
      <c r="L267" s="586">
        <v>0</v>
      </c>
      <c r="M267" s="588"/>
    </row>
    <row r="268" spans="1:13" s="589" customFormat="1" ht="12.95" customHeight="1">
      <c r="A268" s="584" t="s">
        <v>1499</v>
      </c>
      <c r="B268" s="664"/>
      <c r="C268" s="585"/>
      <c r="D268" s="586"/>
      <c r="E268" s="587"/>
      <c r="F268" s="586"/>
      <c r="G268" s="585"/>
      <c r="H268" s="586"/>
      <c r="I268" s="587"/>
      <c r="J268" s="586"/>
      <c r="K268" s="585"/>
      <c r="L268" s="586"/>
      <c r="M268" s="588"/>
    </row>
    <row r="269" spans="1:13" s="589" customFormat="1" ht="12.95" customHeight="1">
      <c r="A269" s="584" t="s">
        <v>952</v>
      </c>
      <c r="B269" s="664"/>
      <c r="C269" s="585"/>
      <c r="D269" s="586"/>
      <c r="E269" s="587"/>
      <c r="F269" s="586"/>
      <c r="G269" s="585"/>
      <c r="H269" s="586"/>
      <c r="I269" s="587"/>
      <c r="J269" s="586"/>
      <c r="K269" s="585"/>
      <c r="L269" s="586"/>
      <c r="M269" s="588"/>
    </row>
    <row r="270" spans="1:13" s="589" customFormat="1" ht="12.95" customHeight="1">
      <c r="A270" s="584" t="s">
        <v>1500</v>
      </c>
      <c r="B270" s="664" t="s">
        <v>126</v>
      </c>
      <c r="C270" s="585"/>
      <c r="D270" s="586">
        <v>23023.99</v>
      </c>
      <c r="E270" s="587"/>
      <c r="F270" s="586">
        <v>0</v>
      </c>
      <c r="G270" s="585"/>
      <c r="H270" s="586">
        <f>J270-F270</f>
        <v>300000</v>
      </c>
      <c r="I270" s="587"/>
      <c r="J270" s="586">
        <v>300000</v>
      </c>
      <c r="K270" s="585"/>
      <c r="L270" s="586">
        <v>0</v>
      </c>
      <c r="M270" s="588"/>
    </row>
    <row r="271" spans="1:13" s="589" customFormat="1" ht="12.95" customHeight="1">
      <c r="A271" s="584" t="s">
        <v>1501</v>
      </c>
      <c r="B271" s="664" t="s">
        <v>129</v>
      </c>
      <c r="C271" s="585"/>
      <c r="D271" s="586">
        <v>712857</v>
      </c>
      <c r="E271" s="587"/>
      <c r="F271" s="586">
        <v>201000</v>
      </c>
      <c r="G271" s="585"/>
      <c r="H271" s="586">
        <f>J271-F271</f>
        <v>299000</v>
      </c>
      <c r="I271" s="587"/>
      <c r="J271" s="586">
        <v>500000</v>
      </c>
      <c r="K271" s="585"/>
      <c r="L271" s="586">
        <v>0</v>
      </c>
      <c r="M271" s="588"/>
    </row>
    <row r="272" spans="1:13" s="589" customFormat="1" ht="12.95" customHeight="1">
      <c r="A272" s="584" t="s">
        <v>1502</v>
      </c>
      <c r="B272" s="664" t="s">
        <v>173</v>
      </c>
      <c r="C272" s="585"/>
      <c r="D272" s="586">
        <v>1186680</v>
      </c>
      <c r="E272" s="587"/>
      <c r="F272" s="586">
        <v>0</v>
      </c>
      <c r="G272" s="585"/>
      <c r="H272" s="586">
        <f>J272-F272</f>
        <v>200000</v>
      </c>
      <c r="I272" s="587"/>
      <c r="J272" s="586">
        <v>200000</v>
      </c>
      <c r="K272" s="585"/>
      <c r="L272" s="586">
        <v>0</v>
      </c>
      <c r="M272" s="588"/>
    </row>
    <row r="273" spans="1:13" s="589" customFormat="1" ht="12.95" customHeight="1">
      <c r="A273" s="584" t="s">
        <v>1503</v>
      </c>
      <c r="B273" s="664" t="s">
        <v>174</v>
      </c>
      <c r="C273" s="585"/>
      <c r="D273" s="586">
        <v>164321.20000000001</v>
      </c>
      <c r="E273" s="587"/>
      <c r="F273" s="586">
        <v>0</v>
      </c>
      <c r="G273" s="585"/>
      <c r="H273" s="586">
        <f t="shared" ref="H273:H274" si="69">J273-F273</f>
        <v>100000</v>
      </c>
      <c r="I273" s="587"/>
      <c r="J273" s="586">
        <v>100000</v>
      </c>
      <c r="K273" s="585"/>
      <c r="L273" s="586">
        <v>0</v>
      </c>
      <c r="M273" s="588"/>
    </row>
    <row r="274" spans="1:13" s="589" customFormat="1" ht="12.95" customHeight="1">
      <c r="A274" s="592" t="s">
        <v>1504</v>
      </c>
      <c r="B274" s="593" t="s">
        <v>144</v>
      </c>
      <c r="C274" s="594"/>
      <c r="D274" s="595">
        <v>2480</v>
      </c>
      <c r="E274" s="596"/>
      <c r="F274" s="595">
        <v>0</v>
      </c>
      <c r="G274" s="594"/>
      <c r="H274" s="595">
        <f t="shared" si="69"/>
        <v>0</v>
      </c>
      <c r="I274" s="596"/>
      <c r="J274" s="595"/>
      <c r="K274" s="594"/>
      <c r="L274" s="595"/>
      <c r="M274" s="588"/>
    </row>
    <row r="275" spans="1:13" s="589" customFormat="1" ht="12.95" customHeight="1">
      <c r="A275" s="584" t="s">
        <v>1505</v>
      </c>
      <c r="B275" s="664" t="s">
        <v>148</v>
      </c>
      <c r="C275" s="585"/>
      <c r="D275" s="586"/>
      <c r="E275" s="587"/>
      <c r="F275" s="586"/>
      <c r="G275" s="585"/>
      <c r="H275" s="586"/>
      <c r="I275" s="587"/>
      <c r="J275" s="586">
        <v>200000</v>
      </c>
      <c r="K275" s="585"/>
      <c r="L275" s="586">
        <v>0</v>
      </c>
      <c r="M275" s="588"/>
    </row>
    <row r="276" spans="1:13" s="589" customFormat="1" ht="12.95" customHeight="1">
      <c r="A276" s="584" t="s">
        <v>1506</v>
      </c>
      <c r="B276" s="664"/>
      <c r="C276" s="585"/>
      <c r="D276" s="586">
        <v>200000</v>
      </c>
      <c r="E276" s="587"/>
      <c r="F276" s="586">
        <v>0</v>
      </c>
      <c r="G276" s="585"/>
      <c r="H276" s="586"/>
      <c r="I276" s="587"/>
      <c r="J276" s="586">
        <v>150000</v>
      </c>
      <c r="K276" s="585"/>
      <c r="L276" s="586">
        <v>0</v>
      </c>
      <c r="M276" s="588"/>
    </row>
    <row r="277" spans="1:13" s="589" customFormat="1" ht="12.95" customHeight="1">
      <c r="A277" s="584" t="s">
        <v>1507</v>
      </c>
      <c r="B277" s="665"/>
      <c r="C277" s="585"/>
      <c r="D277" s="586">
        <v>112500</v>
      </c>
      <c r="E277" s="587"/>
      <c r="F277" s="586">
        <v>0</v>
      </c>
      <c r="G277" s="587"/>
      <c r="H277" s="586"/>
      <c r="I277" s="587"/>
      <c r="J277" s="586"/>
      <c r="K277" s="587"/>
      <c r="L277" s="586"/>
      <c r="M277" s="588"/>
    </row>
    <row r="278" spans="1:13" s="589" customFormat="1" ht="12.95" customHeight="1">
      <c r="A278" s="584" t="s">
        <v>1508</v>
      </c>
      <c r="B278" s="665"/>
      <c r="C278" s="585"/>
      <c r="D278" s="586">
        <v>1000000</v>
      </c>
      <c r="E278" s="587"/>
      <c r="F278" s="586">
        <v>0</v>
      </c>
      <c r="G278" s="587"/>
      <c r="H278" s="586"/>
      <c r="I278" s="587"/>
      <c r="J278" s="586"/>
      <c r="K278" s="587"/>
      <c r="L278" s="586"/>
      <c r="M278" s="588"/>
    </row>
    <row r="279" spans="1:13" s="589" customFormat="1" ht="12.95" customHeight="1">
      <c r="A279" s="584" t="s">
        <v>1509</v>
      </c>
      <c r="B279" s="665"/>
      <c r="C279" s="585"/>
      <c r="D279" s="586">
        <v>237882</v>
      </c>
      <c r="E279" s="587"/>
      <c r="F279" s="586">
        <v>0</v>
      </c>
      <c r="G279" s="587"/>
      <c r="H279" s="586">
        <f t="shared" ref="H279" si="70">J279-F279</f>
        <v>0</v>
      </c>
      <c r="I279" s="587"/>
      <c r="J279" s="586">
        <v>0</v>
      </c>
      <c r="K279" s="587"/>
      <c r="L279" s="586">
        <v>0</v>
      </c>
      <c r="M279" s="588"/>
    </row>
    <row r="280" spans="1:13" s="589" customFormat="1" ht="12.95" customHeight="1">
      <c r="A280" s="584" t="s">
        <v>1512</v>
      </c>
      <c r="B280" s="665"/>
      <c r="C280" s="585"/>
      <c r="D280" s="586">
        <v>0</v>
      </c>
      <c r="E280" s="587"/>
      <c r="F280" s="586">
        <v>0</v>
      </c>
      <c r="G280" s="587"/>
      <c r="H280" s="586">
        <f>J280-F280</f>
        <v>100000</v>
      </c>
      <c r="I280" s="587"/>
      <c r="J280" s="586">
        <v>100000</v>
      </c>
      <c r="K280" s="587"/>
      <c r="L280" s="586">
        <v>0</v>
      </c>
      <c r="M280" s="588"/>
    </row>
    <row r="281" spans="1:13" s="589" customFormat="1" ht="12.95" customHeight="1">
      <c r="A281" s="584" t="s">
        <v>1556</v>
      </c>
      <c r="B281" s="665"/>
      <c r="C281" s="585"/>
      <c r="D281" s="586">
        <v>0</v>
      </c>
      <c r="E281" s="587"/>
      <c r="F281" s="586">
        <v>0</v>
      </c>
      <c r="G281" s="587"/>
      <c r="H281" s="586">
        <f>J281-F281</f>
        <v>0</v>
      </c>
      <c r="I281" s="587"/>
      <c r="J281" s="586">
        <v>0</v>
      </c>
      <c r="K281" s="587"/>
      <c r="L281" s="586">
        <v>100000</v>
      </c>
      <c r="M281" s="588"/>
    </row>
    <row r="282" spans="1:13" s="589" customFormat="1" ht="12.95" customHeight="1">
      <c r="A282" s="584" t="s">
        <v>869</v>
      </c>
      <c r="B282" s="665"/>
      <c r="C282" s="585"/>
      <c r="D282" s="586"/>
      <c r="E282" s="587"/>
      <c r="F282" s="586"/>
      <c r="G282" s="587"/>
      <c r="H282" s="586"/>
      <c r="I282" s="587"/>
      <c r="J282" s="586"/>
      <c r="K282" s="587"/>
      <c r="L282" s="586"/>
      <c r="M282" s="588"/>
    </row>
    <row r="283" spans="1:13" s="589" customFormat="1" ht="12.95" customHeight="1">
      <c r="A283" s="584" t="s">
        <v>1514</v>
      </c>
      <c r="B283" s="665" t="s">
        <v>156</v>
      </c>
      <c r="C283" s="585"/>
      <c r="D283" s="586"/>
      <c r="E283" s="587"/>
      <c r="F283" s="586"/>
      <c r="G283" s="587"/>
      <c r="H283" s="586"/>
      <c r="I283" s="587"/>
      <c r="J283" s="586"/>
      <c r="K283" s="587"/>
      <c r="L283" s="586"/>
      <c r="M283" s="588"/>
    </row>
    <row r="284" spans="1:13" s="589" customFormat="1" ht="12.95" customHeight="1">
      <c r="A284" s="584" t="s">
        <v>1513</v>
      </c>
      <c r="B284" s="665"/>
      <c r="C284" s="585"/>
      <c r="D284" s="586">
        <v>0</v>
      </c>
      <c r="E284" s="587"/>
      <c r="F284" s="586">
        <v>4948480</v>
      </c>
      <c r="G284" s="587"/>
      <c r="H284" s="586">
        <f t="shared" ref="H284" si="71">J284-F284</f>
        <v>0</v>
      </c>
      <c r="I284" s="587"/>
      <c r="J284" s="586">
        <v>4948480</v>
      </c>
      <c r="K284" s="587"/>
      <c r="L284" s="586">
        <v>0</v>
      </c>
      <c r="M284" s="588"/>
    </row>
    <row r="285" spans="1:13" s="589" customFormat="1" ht="27" customHeight="1">
      <c r="A285" s="908" t="s">
        <v>1510</v>
      </c>
      <c r="B285" s="664"/>
      <c r="C285" s="585"/>
      <c r="D285" s="586"/>
      <c r="E285" s="587"/>
      <c r="F285" s="586"/>
      <c r="G285" s="585"/>
      <c r="H285" s="586"/>
      <c r="I285" s="587"/>
      <c r="J285" s="586"/>
      <c r="K285" s="585"/>
      <c r="L285" s="586"/>
      <c r="M285" s="588"/>
    </row>
    <row r="286" spans="1:13" s="589" customFormat="1" ht="12.95" customHeight="1">
      <c r="A286" s="584" t="s">
        <v>952</v>
      </c>
      <c r="B286" s="664"/>
      <c r="C286" s="585"/>
      <c r="D286" s="586"/>
      <c r="E286" s="587"/>
      <c r="F286" s="586"/>
      <c r="G286" s="585"/>
      <c r="H286" s="586"/>
      <c r="I286" s="587"/>
      <c r="J286" s="586"/>
      <c r="K286" s="585"/>
      <c r="L286" s="586"/>
      <c r="M286" s="588"/>
    </row>
    <row r="287" spans="1:13" s="589" customFormat="1" ht="12.95" customHeight="1">
      <c r="A287" s="584" t="s">
        <v>1511</v>
      </c>
      <c r="B287" s="665" t="s">
        <v>1404</v>
      </c>
      <c r="C287" s="585"/>
      <c r="D287" s="586">
        <v>72000</v>
      </c>
      <c r="E287" s="587"/>
      <c r="F287" s="586">
        <v>139424.84</v>
      </c>
      <c r="G287" s="587"/>
      <c r="H287" s="586">
        <f t="shared" ref="H287" si="72">J287-F287</f>
        <v>160575.16</v>
      </c>
      <c r="I287" s="587"/>
      <c r="J287" s="586">
        <v>300000</v>
      </c>
      <c r="K287" s="587"/>
      <c r="L287" s="586">
        <v>0</v>
      </c>
      <c r="M287" s="588"/>
    </row>
    <row r="288" spans="1:13" s="589" customFormat="1" ht="27" customHeight="1">
      <c r="A288" s="908" t="s">
        <v>1558</v>
      </c>
      <c r="B288" s="664"/>
      <c r="C288" s="585"/>
      <c r="D288" s="586"/>
      <c r="E288" s="587"/>
      <c r="F288" s="586"/>
      <c r="G288" s="585"/>
      <c r="H288" s="586"/>
      <c r="I288" s="587"/>
      <c r="J288" s="586"/>
      <c r="K288" s="585"/>
      <c r="L288" s="586"/>
      <c r="M288" s="588"/>
    </row>
    <row r="289" spans="1:13" s="589" customFormat="1" ht="12.95" customHeight="1">
      <c r="A289" s="584" t="s">
        <v>952</v>
      </c>
      <c r="B289" s="664"/>
      <c r="C289" s="585"/>
      <c r="D289" s="586"/>
      <c r="E289" s="587"/>
      <c r="F289" s="586"/>
      <c r="G289" s="585"/>
      <c r="H289" s="586"/>
      <c r="I289" s="587"/>
      <c r="J289" s="586"/>
      <c r="K289" s="585"/>
      <c r="L289" s="586"/>
      <c r="M289" s="588"/>
    </row>
    <row r="290" spans="1:13" s="589" customFormat="1" ht="12.95" customHeight="1">
      <c r="A290" s="584" t="s">
        <v>1501</v>
      </c>
      <c r="B290" s="665" t="s">
        <v>129</v>
      </c>
      <c r="C290" s="585"/>
      <c r="D290" s="586">
        <v>0</v>
      </c>
      <c r="E290" s="587"/>
      <c r="F290" s="586">
        <v>0</v>
      </c>
      <c r="G290" s="587"/>
      <c r="H290" s="586">
        <f t="shared" ref="H290" si="73">J290-F290</f>
        <v>0</v>
      </c>
      <c r="I290" s="587"/>
      <c r="J290" s="586">
        <v>0</v>
      </c>
      <c r="K290" s="587"/>
      <c r="L290" s="586">
        <v>50000</v>
      </c>
      <c r="M290" s="588"/>
    </row>
    <row r="291" spans="1:13" s="589" customFormat="1" ht="12.95" customHeight="1">
      <c r="A291" s="584" t="s">
        <v>1503</v>
      </c>
      <c r="B291" s="665" t="s">
        <v>174</v>
      </c>
      <c r="C291" s="585"/>
      <c r="D291" s="586">
        <v>0</v>
      </c>
      <c r="E291" s="587"/>
      <c r="F291" s="586">
        <v>0</v>
      </c>
      <c r="G291" s="587"/>
      <c r="H291" s="586">
        <f t="shared" ref="H291" si="74">J291-F291</f>
        <v>0</v>
      </c>
      <c r="I291" s="587"/>
      <c r="J291" s="586">
        <v>0</v>
      </c>
      <c r="K291" s="587"/>
      <c r="L291" s="586">
        <v>740000</v>
      </c>
      <c r="M291" s="588"/>
    </row>
    <row r="292" spans="1:13" s="589" customFormat="1" ht="12.95" customHeight="1">
      <c r="A292" s="584" t="s">
        <v>1557</v>
      </c>
      <c r="B292" s="665" t="s">
        <v>168</v>
      </c>
      <c r="C292" s="585"/>
      <c r="D292" s="586">
        <v>0</v>
      </c>
      <c r="E292" s="587"/>
      <c r="F292" s="586">
        <v>0</v>
      </c>
      <c r="G292" s="587"/>
      <c r="H292" s="586">
        <f t="shared" ref="H292" si="75">J292-F292</f>
        <v>0</v>
      </c>
      <c r="I292" s="587"/>
      <c r="J292" s="586">
        <v>0</v>
      </c>
      <c r="K292" s="587"/>
      <c r="L292" s="586">
        <v>150000</v>
      </c>
      <c r="M292" s="588"/>
    </row>
    <row r="293" spans="1:13" s="589" customFormat="1" ht="12.95" customHeight="1">
      <c r="A293" s="584" t="s">
        <v>869</v>
      </c>
      <c r="B293" s="664"/>
      <c r="C293" s="585"/>
      <c r="D293" s="586"/>
      <c r="E293" s="587"/>
      <c r="F293" s="586"/>
      <c r="G293" s="585"/>
      <c r="H293" s="586"/>
      <c r="I293" s="587"/>
      <c r="J293" s="586"/>
      <c r="K293" s="585"/>
      <c r="L293" s="586"/>
      <c r="M293" s="588"/>
    </row>
    <row r="294" spans="1:13" s="589" customFormat="1" ht="12.95" customHeight="1">
      <c r="A294" s="584" t="s">
        <v>1559</v>
      </c>
      <c r="B294" s="665" t="s">
        <v>156</v>
      </c>
      <c r="C294" s="585"/>
      <c r="D294" s="586"/>
      <c r="E294" s="587"/>
      <c r="F294" s="586"/>
      <c r="G294" s="587"/>
      <c r="H294" s="586"/>
      <c r="I294" s="587"/>
      <c r="J294" s="586"/>
      <c r="K294" s="587"/>
      <c r="L294" s="586"/>
      <c r="M294" s="588"/>
    </row>
    <row r="295" spans="1:13" s="589" customFormat="1" ht="12.95" customHeight="1">
      <c r="A295" s="584" t="s">
        <v>1560</v>
      </c>
      <c r="B295" s="665"/>
      <c r="C295" s="585"/>
      <c r="D295" s="586">
        <v>0</v>
      </c>
      <c r="E295" s="587"/>
      <c r="F295" s="586">
        <v>0</v>
      </c>
      <c r="G295" s="587"/>
      <c r="H295" s="586">
        <f t="shared" ref="H295" si="76">J295-F295</f>
        <v>0</v>
      </c>
      <c r="I295" s="587"/>
      <c r="J295" s="586">
        <v>0</v>
      </c>
      <c r="K295" s="587"/>
      <c r="L295" s="586">
        <v>1500000</v>
      </c>
      <c r="M295" s="588"/>
    </row>
    <row r="296" spans="1:13" s="589" customFormat="1" ht="12.95" customHeight="1">
      <c r="A296" s="584" t="s">
        <v>943</v>
      </c>
      <c r="B296" s="1460"/>
      <c r="C296" s="585"/>
      <c r="D296" s="586"/>
      <c r="E296" s="587"/>
      <c r="F296" s="586"/>
      <c r="G296" s="587"/>
      <c r="H296" s="586"/>
      <c r="I296" s="587"/>
      <c r="J296" s="586"/>
      <c r="K296" s="587"/>
      <c r="L296" s="586"/>
      <c r="M296" s="588"/>
    </row>
    <row r="297" spans="1:13" s="589" customFormat="1" ht="12.95" customHeight="1">
      <c r="A297" s="597" t="s">
        <v>944</v>
      </c>
      <c r="B297" s="1460"/>
      <c r="C297" s="585"/>
      <c r="D297" s="586"/>
      <c r="E297" s="587"/>
      <c r="F297" s="586"/>
      <c r="G297" s="587"/>
      <c r="H297" s="586"/>
      <c r="I297" s="587"/>
      <c r="J297" s="586"/>
      <c r="K297" s="587"/>
      <c r="L297" s="586"/>
      <c r="M297" s="588"/>
    </row>
    <row r="298" spans="1:13" s="589" customFormat="1" ht="12.95" customHeight="1">
      <c r="A298" s="584" t="s">
        <v>1296</v>
      </c>
      <c r="B298" s="665"/>
      <c r="C298" s="585"/>
      <c r="D298" s="586"/>
      <c r="E298" s="587"/>
      <c r="F298" s="586"/>
      <c r="G298" s="587"/>
      <c r="H298" s="586"/>
      <c r="I298" s="587"/>
      <c r="J298" s="586"/>
      <c r="K298" s="587"/>
      <c r="L298" s="586"/>
      <c r="M298" s="588"/>
    </row>
    <row r="299" spans="1:13" s="589" customFormat="1" ht="12.95" customHeight="1">
      <c r="A299" s="584" t="s">
        <v>937</v>
      </c>
      <c r="B299" s="665"/>
      <c r="C299" s="585"/>
      <c r="D299" s="586"/>
      <c r="E299" s="587"/>
      <c r="F299" s="586"/>
      <c r="G299" s="587"/>
      <c r="H299" s="586"/>
      <c r="I299" s="587"/>
      <c r="J299" s="586"/>
      <c r="K299" s="587"/>
      <c r="L299" s="586"/>
      <c r="M299" s="588"/>
    </row>
    <row r="300" spans="1:13" s="589" customFormat="1" ht="12.95" customHeight="1">
      <c r="A300" s="584" t="s">
        <v>1297</v>
      </c>
      <c r="B300" s="665"/>
      <c r="C300" s="585"/>
      <c r="D300" s="586"/>
      <c r="E300" s="587"/>
      <c r="F300" s="586"/>
      <c r="G300" s="587"/>
      <c r="H300" s="586"/>
      <c r="I300" s="587"/>
      <c r="J300" s="586"/>
      <c r="K300" s="587"/>
      <c r="L300" s="586"/>
      <c r="M300" s="588"/>
    </row>
    <row r="301" spans="1:13" s="589" customFormat="1" ht="12.95" customHeight="1">
      <c r="A301" s="584" t="s">
        <v>952</v>
      </c>
      <c r="B301" s="665"/>
      <c r="C301" s="585"/>
      <c r="D301" s="586"/>
      <c r="E301" s="587"/>
      <c r="F301" s="586"/>
      <c r="G301" s="587"/>
      <c r="H301" s="586"/>
      <c r="I301" s="587"/>
      <c r="J301" s="586"/>
      <c r="K301" s="587"/>
      <c r="L301" s="586"/>
      <c r="M301" s="588"/>
    </row>
    <row r="302" spans="1:13" s="589" customFormat="1" ht="12.95" customHeight="1">
      <c r="A302" s="584" t="s">
        <v>700</v>
      </c>
      <c r="B302" s="665" t="s">
        <v>126</v>
      </c>
      <c r="C302" s="585"/>
      <c r="D302" s="586">
        <v>0</v>
      </c>
      <c r="E302" s="587"/>
      <c r="F302" s="586">
        <v>50000</v>
      </c>
      <c r="G302" s="587"/>
      <c r="H302" s="586">
        <f t="shared" ref="H302:H304" si="77">J302-F302</f>
        <v>0</v>
      </c>
      <c r="I302" s="587"/>
      <c r="J302" s="586">
        <v>50000</v>
      </c>
      <c r="K302" s="587"/>
      <c r="L302" s="586">
        <v>0</v>
      </c>
      <c r="M302" s="588"/>
    </row>
    <row r="303" spans="1:13" s="589" customFormat="1" ht="12.95" customHeight="1">
      <c r="A303" s="584" t="s">
        <v>699</v>
      </c>
      <c r="B303" s="665" t="s">
        <v>128</v>
      </c>
      <c r="C303" s="585"/>
      <c r="D303" s="586">
        <v>0</v>
      </c>
      <c r="E303" s="587"/>
      <c r="F303" s="586">
        <v>5000</v>
      </c>
      <c r="G303" s="587"/>
      <c r="H303" s="586">
        <f t="shared" si="77"/>
        <v>0</v>
      </c>
      <c r="I303" s="587"/>
      <c r="J303" s="586">
        <v>5000</v>
      </c>
      <c r="K303" s="587"/>
      <c r="L303" s="586">
        <v>0</v>
      </c>
      <c r="M303" s="588"/>
    </row>
    <row r="304" spans="1:13" s="589" customFormat="1" ht="12.95" customHeight="1">
      <c r="A304" s="584" t="s">
        <v>953</v>
      </c>
      <c r="B304" s="665" t="s">
        <v>129</v>
      </c>
      <c r="C304" s="585"/>
      <c r="D304" s="586">
        <v>0</v>
      </c>
      <c r="E304" s="587"/>
      <c r="F304" s="586">
        <v>5000</v>
      </c>
      <c r="G304" s="587"/>
      <c r="H304" s="586">
        <f t="shared" si="77"/>
        <v>0</v>
      </c>
      <c r="I304" s="587"/>
      <c r="J304" s="586">
        <v>5000</v>
      </c>
      <c r="K304" s="587"/>
      <c r="L304" s="586">
        <v>0</v>
      </c>
      <c r="M304" s="588"/>
    </row>
    <row r="305" spans="1:19" s="589" customFormat="1" ht="12.95" customHeight="1">
      <c r="A305" s="584" t="s">
        <v>954</v>
      </c>
      <c r="B305" s="665" t="s">
        <v>148</v>
      </c>
      <c r="C305" s="585"/>
      <c r="D305" s="586"/>
      <c r="E305" s="587"/>
      <c r="F305" s="586"/>
      <c r="G305" s="587"/>
      <c r="H305" s="586"/>
      <c r="I305" s="587"/>
      <c r="J305" s="586"/>
      <c r="K305" s="587"/>
      <c r="L305" s="586"/>
      <c r="M305" s="588"/>
    </row>
    <row r="306" spans="1:19" s="589" customFormat="1" ht="12.95" customHeight="1">
      <c r="A306" s="584" t="s">
        <v>955</v>
      </c>
      <c r="B306" s="665"/>
      <c r="C306" s="585"/>
      <c r="D306" s="586">
        <v>0</v>
      </c>
      <c r="E306" s="587"/>
      <c r="F306" s="586">
        <v>50000</v>
      </c>
      <c r="G306" s="587"/>
      <c r="H306" s="586">
        <f t="shared" ref="H306" si="78">J306-F306</f>
        <v>0</v>
      </c>
      <c r="I306" s="587"/>
      <c r="J306" s="586">
        <v>50000</v>
      </c>
      <c r="K306" s="587"/>
      <c r="L306" s="586">
        <v>0</v>
      </c>
      <c r="M306" s="588"/>
    </row>
    <row r="307" spans="1:19" s="589" customFormat="1" ht="12.95" customHeight="1">
      <c r="A307" s="584" t="s">
        <v>1515</v>
      </c>
      <c r="B307" s="734"/>
      <c r="C307" s="585"/>
      <c r="D307" s="586"/>
      <c r="E307" s="587"/>
      <c r="F307" s="586"/>
      <c r="G307" s="587"/>
      <c r="H307" s="586"/>
      <c r="I307" s="587"/>
      <c r="J307" s="586"/>
      <c r="K307" s="587"/>
      <c r="L307" s="586"/>
      <c r="M307" s="588"/>
    </row>
    <row r="308" spans="1:19" s="589" customFormat="1" ht="12.95" customHeight="1">
      <c r="A308" s="584" t="s">
        <v>1295</v>
      </c>
      <c r="B308" s="734"/>
      <c r="C308" s="585"/>
      <c r="D308" s="586"/>
      <c r="E308" s="587"/>
      <c r="F308" s="586"/>
      <c r="G308" s="587"/>
      <c r="H308" s="586"/>
      <c r="I308" s="587"/>
      <c r="J308" s="586"/>
      <c r="K308" s="587"/>
      <c r="L308" s="586"/>
      <c r="M308" s="588"/>
    </row>
    <row r="309" spans="1:19" s="589" customFormat="1" ht="12.95" customHeight="1">
      <c r="A309" s="584" t="s">
        <v>952</v>
      </c>
      <c r="B309" s="665"/>
      <c r="C309" s="585"/>
      <c r="D309" s="586"/>
      <c r="E309" s="587"/>
      <c r="F309" s="586"/>
      <c r="G309" s="587"/>
      <c r="H309" s="586"/>
      <c r="I309" s="587"/>
      <c r="J309" s="586"/>
      <c r="K309" s="587"/>
      <c r="L309" s="586"/>
      <c r="M309" s="588"/>
    </row>
    <row r="310" spans="1:19" s="589" customFormat="1" ht="12.95" customHeight="1">
      <c r="A310" s="584" t="s">
        <v>700</v>
      </c>
      <c r="B310" s="665" t="s">
        <v>126</v>
      </c>
      <c r="C310" s="585"/>
      <c r="D310" s="586">
        <v>0</v>
      </c>
      <c r="E310" s="587"/>
      <c r="F310" s="586">
        <v>0</v>
      </c>
      <c r="G310" s="587"/>
      <c r="H310" s="586">
        <f t="shared" ref="H310" si="79">J310-F310</f>
        <v>100000</v>
      </c>
      <c r="I310" s="587"/>
      <c r="J310" s="586">
        <v>100000</v>
      </c>
      <c r="K310" s="587"/>
      <c r="L310" s="586">
        <v>50000</v>
      </c>
      <c r="M310" s="588"/>
      <c r="O310" s="841"/>
      <c r="P310" s="842"/>
      <c r="Q310" s="842"/>
      <c r="R310" s="842"/>
      <c r="S310" s="843"/>
    </row>
    <row r="311" spans="1:19" s="589" customFormat="1" ht="12.95" customHeight="1">
      <c r="A311" s="584" t="s">
        <v>961</v>
      </c>
      <c r="B311" s="665" t="s">
        <v>173</v>
      </c>
      <c r="C311" s="585"/>
      <c r="D311" s="586">
        <v>0</v>
      </c>
      <c r="E311" s="587"/>
      <c r="F311" s="586">
        <v>0</v>
      </c>
      <c r="G311" s="587"/>
      <c r="H311" s="586">
        <f t="shared" ref="H311" si="80">J311-F311</f>
        <v>300000</v>
      </c>
      <c r="I311" s="587"/>
      <c r="J311" s="586">
        <v>300000</v>
      </c>
      <c r="K311" s="587"/>
      <c r="L311" s="586">
        <v>50000</v>
      </c>
      <c r="M311" s="588"/>
      <c r="O311" s="841"/>
      <c r="P311" s="842"/>
      <c r="Q311" s="842"/>
      <c r="R311" s="842"/>
      <c r="S311" s="843"/>
    </row>
    <row r="312" spans="1:19" s="589" customFormat="1" ht="12.95" customHeight="1">
      <c r="A312" s="584" t="s">
        <v>953</v>
      </c>
      <c r="B312" s="665" t="s">
        <v>129</v>
      </c>
      <c r="C312" s="585"/>
      <c r="D312" s="586">
        <v>1408299.51</v>
      </c>
      <c r="E312" s="587"/>
      <c r="F312" s="586">
        <v>0</v>
      </c>
      <c r="G312" s="587"/>
      <c r="H312" s="586">
        <f t="shared" ref="H312:H313" si="81">J312-F312</f>
        <v>200000</v>
      </c>
      <c r="I312" s="587"/>
      <c r="J312" s="586">
        <v>200000</v>
      </c>
      <c r="K312" s="587"/>
      <c r="L312" s="586">
        <v>50000</v>
      </c>
      <c r="M312" s="588"/>
      <c r="O312" s="841"/>
      <c r="P312" s="842"/>
      <c r="Q312" s="842"/>
      <c r="R312" s="842"/>
      <c r="S312" s="843"/>
    </row>
    <row r="313" spans="1:19" s="589" customFormat="1" ht="12.95" customHeight="1">
      <c r="A313" s="584" t="s">
        <v>812</v>
      </c>
      <c r="B313" s="665" t="s">
        <v>174</v>
      </c>
      <c r="C313" s="585"/>
      <c r="D313" s="586">
        <v>44400</v>
      </c>
      <c r="E313" s="587"/>
      <c r="F313" s="586">
        <v>0</v>
      </c>
      <c r="G313" s="587"/>
      <c r="H313" s="586">
        <f t="shared" si="81"/>
        <v>100000</v>
      </c>
      <c r="I313" s="587"/>
      <c r="J313" s="586">
        <v>100000</v>
      </c>
      <c r="K313" s="587"/>
      <c r="L313" s="586">
        <v>0</v>
      </c>
      <c r="M313" s="588"/>
      <c r="O313" s="841"/>
      <c r="P313" s="842"/>
      <c r="Q313" s="842"/>
      <c r="R313" s="842"/>
      <c r="S313" s="843"/>
    </row>
    <row r="314" spans="1:19" s="589" customFormat="1" ht="12.95" customHeight="1">
      <c r="A314" s="584" t="s">
        <v>954</v>
      </c>
      <c r="B314" s="665" t="s">
        <v>148</v>
      </c>
      <c r="C314" s="585"/>
      <c r="D314" s="586"/>
      <c r="E314" s="587"/>
      <c r="F314" s="586"/>
      <c r="G314" s="587"/>
      <c r="H314" s="586"/>
      <c r="I314" s="587"/>
      <c r="J314" s="586"/>
      <c r="K314" s="587"/>
      <c r="L314" s="586"/>
      <c r="M314" s="588"/>
      <c r="O314" s="844"/>
      <c r="P314" s="845"/>
      <c r="Q314" s="845"/>
      <c r="R314" s="845"/>
      <c r="S314" s="843"/>
    </row>
    <row r="315" spans="1:19" s="589" customFormat="1" ht="12.95" customHeight="1">
      <c r="A315" s="584" t="s">
        <v>992</v>
      </c>
      <c r="B315" s="665"/>
      <c r="C315" s="585"/>
      <c r="D315" s="586">
        <v>200000</v>
      </c>
      <c r="E315" s="587"/>
      <c r="F315" s="586">
        <v>7500</v>
      </c>
      <c r="G315" s="587"/>
      <c r="H315" s="586">
        <f t="shared" ref="H315" si="82">J315-F315</f>
        <v>142500</v>
      </c>
      <c r="I315" s="587"/>
      <c r="J315" s="586">
        <v>150000</v>
      </c>
      <c r="K315" s="587"/>
      <c r="L315" s="586">
        <v>50000</v>
      </c>
      <c r="M315" s="588"/>
      <c r="O315" s="846"/>
      <c r="P315" s="845"/>
      <c r="Q315" s="845"/>
      <c r="R315" s="845"/>
      <c r="S315" s="843"/>
    </row>
    <row r="316" spans="1:19" s="589" customFormat="1" ht="12.95" customHeight="1">
      <c r="A316" s="598" t="s">
        <v>86</v>
      </c>
      <c r="B316" s="598"/>
      <c r="C316" s="609" t="s">
        <v>15</v>
      </c>
      <c r="D316" s="600">
        <f>SUM(D14:D315)</f>
        <v>15366707.359999999</v>
      </c>
      <c r="E316" s="599" t="s">
        <v>15</v>
      </c>
      <c r="F316" s="600">
        <f>SUM(F14:F315)</f>
        <v>7460182.8200000003</v>
      </c>
      <c r="G316" s="599" t="s">
        <v>15</v>
      </c>
      <c r="H316" s="600">
        <f>SUM(H14:H315)</f>
        <v>19023360.180000003</v>
      </c>
      <c r="I316" s="599" t="s">
        <v>15</v>
      </c>
      <c r="J316" s="600">
        <f>SUM(J14:J315)</f>
        <v>26833543</v>
      </c>
      <c r="K316" s="599" t="s">
        <v>15</v>
      </c>
      <c r="L316" s="600">
        <f>SUM(L14:L315)</f>
        <v>23961338</v>
      </c>
      <c r="M316" s="588"/>
      <c r="O316" s="847"/>
      <c r="P316" s="842"/>
      <c r="Q316" s="842"/>
      <c r="R316" s="842"/>
      <c r="S316" s="848"/>
    </row>
    <row r="317" spans="1:19" s="589" customFormat="1" ht="16.5" customHeight="1">
      <c r="A317" s="1150" t="s">
        <v>1623</v>
      </c>
      <c r="B317" s="601"/>
      <c r="C317" s="602"/>
      <c r="D317" s="603"/>
      <c r="E317" s="602"/>
      <c r="F317" s="603"/>
      <c r="G317" s="602"/>
      <c r="H317" s="603"/>
      <c r="I317" s="602"/>
      <c r="J317" s="603"/>
      <c r="K317" s="602"/>
      <c r="L317" s="603"/>
      <c r="M317" s="588"/>
      <c r="O317" s="846"/>
      <c r="P317" s="845"/>
      <c r="Q317" s="845"/>
      <c r="R317" s="845"/>
      <c r="S317" s="843"/>
    </row>
    <row r="318" spans="1:19" s="589" customFormat="1" ht="18" customHeight="1">
      <c r="A318" s="604" t="s">
        <v>187</v>
      </c>
      <c r="B318" s="606" t="s">
        <v>945</v>
      </c>
      <c r="C318" s="604"/>
      <c r="D318" s="604"/>
      <c r="G318" s="605"/>
      <c r="H318" s="604" t="s">
        <v>931</v>
      </c>
      <c r="I318" s="604"/>
      <c r="J318" s="604"/>
      <c r="K318" s="604"/>
      <c r="L318" s="604"/>
      <c r="M318" s="605"/>
      <c r="N318" s="604"/>
      <c r="O318" s="846"/>
      <c r="P318" s="845"/>
      <c r="Q318" s="845"/>
      <c r="R318" s="845"/>
      <c r="S318" s="843"/>
    </row>
    <row r="319" spans="1:19" s="589" customFormat="1" ht="12.95" customHeight="1">
      <c r="A319" s="577"/>
      <c r="B319" s="715"/>
      <c r="C319" s="578"/>
      <c r="D319" s="577"/>
      <c r="G319" s="578"/>
      <c r="H319" s="577"/>
      <c r="I319" s="578"/>
      <c r="J319" s="577"/>
      <c r="K319" s="578"/>
      <c r="L319" s="577"/>
      <c r="M319" s="578"/>
      <c r="N319" s="577"/>
      <c r="O319" s="846"/>
      <c r="P319" s="845"/>
      <c r="Q319" s="845"/>
      <c r="R319" s="845"/>
      <c r="S319" s="843"/>
    </row>
    <row r="320" spans="1:19" s="604" customFormat="1" ht="14.25">
      <c r="A320" s="577"/>
      <c r="B320" s="715"/>
      <c r="C320" s="578"/>
      <c r="D320" s="577"/>
      <c r="G320" s="578"/>
      <c r="H320" s="577"/>
      <c r="I320" s="578"/>
      <c r="J320" s="577"/>
      <c r="K320" s="578"/>
      <c r="L320" s="577"/>
      <c r="M320" s="578"/>
      <c r="N320" s="577"/>
      <c r="O320" s="846"/>
      <c r="P320" s="845"/>
      <c r="Q320" s="845"/>
      <c r="R320" s="845"/>
      <c r="S320" s="843"/>
    </row>
    <row r="321" spans="1:14" s="577" customFormat="1" ht="10.5">
      <c r="B321" s="715"/>
      <c r="C321" s="578"/>
      <c r="G321" s="578"/>
      <c r="I321" s="578"/>
      <c r="K321" s="578"/>
      <c r="M321" s="578"/>
    </row>
    <row r="322" spans="1:14" s="577" customFormat="1" ht="13.5" customHeight="1">
      <c r="A322" s="716" t="s">
        <v>1590</v>
      </c>
      <c r="B322" s="1461" t="s">
        <v>1584</v>
      </c>
      <c r="C322" s="1461"/>
      <c r="D322" s="1461"/>
      <c r="E322" s="1461"/>
      <c r="F322" s="1461"/>
      <c r="G322" s="574"/>
      <c r="H322" s="1461" t="s">
        <v>1591</v>
      </c>
      <c r="I322" s="1461"/>
      <c r="J322" s="1461"/>
      <c r="K322" s="1461"/>
      <c r="L322" s="1461"/>
      <c r="M322" s="574"/>
      <c r="N322" s="574"/>
    </row>
    <row r="323" spans="1:14" s="577" customFormat="1" ht="11.25" customHeight="1">
      <c r="A323" s="954" t="s">
        <v>1592</v>
      </c>
      <c r="B323" s="1457" t="s">
        <v>1593</v>
      </c>
      <c r="C323" s="1457"/>
      <c r="D323" s="1457"/>
      <c r="E323" s="1457"/>
      <c r="F323" s="1457"/>
      <c r="G323" s="955"/>
      <c r="H323" s="955"/>
      <c r="I323" s="955" t="s">
        <v>192</v>
      </c>
      <c r="J323" s="955"/>
      <c r="K323" s="955"/>
      <c r="L323" s="955"/>
      <c r="M323" s="575"/>
      <c r="N323" s="575"/>
    </row>
    <row r="324" spans="1:14" s="607" customFormat="1" ht="12.75">
      <c r="A324" s="608"/>
      <c r="B324" s="667"/>
      <c r="C324" s="608"/>
      <c r="D324" s="608"/>
      <c r="E324" s="608"/>
      <c r="F324" s="608"/>
      <c r="G324" s="608"/>
      <c r="H324" s="608"/>
      <c r="I324" s="608"/>
      <c r="J324" s="608"/>
      <c r="K324" s="608"/>
      <c r="L324" s="608"/>
      <c r="M324" s="608"/>
      <c r="N324" s="608"/>
    </row>
    <row r="325" spans="1:14" s="576" customFormat="1">
      <c r="B325" s="717"/>
    </row>
    <row r="326" spans="1:14" s="577" customFormat="1" ht="10.5">
      <c r="B326" s="715"/>
      <c r="C326" s="578"/>
      <c r="E326" s="578"/>
      <c r="G326" s="578"/>
      <c r="I326" s="578"/>
      <c r="K326" s="578"/>
    </row>
    <row r="327" spans="1:14" s="577" customFormat="1" ht="10.5">
      <c r="A327" s="577" t="s">
        <v>873</v>
      </c>
      <c r="B327" s="715"/>
      <c r="C327" s="578"/>
      <c r="E327" s="578"/>
      <c r="G327" s="578"/>
      <c r="I327" s="578"/>
      <c r="K327" s="578"/>
    </row>
    <row r="328" spans="1:14" s="577" customFormat="1" ht="10.5">
      <c r="B328" s="715"/>
      <c r="C328" s="578"/>
      <c r="E328" s="578"/>
      <c r="G328" s="578"/>
      <c r="I328" s="578"/>
      <c r="K328" s="578"/>
    </row>
    <row r="329" spans="1:14" s="577" customFormat="1" ht="10.5">
      <c r="B329" s="715"/>
      <c r="C329" s="578"/>
      <c r="E329" s="578"/>
      <c r="G329" s="578"/>
      <c r="I329" s="578"/>
      <c r="K329" s="578"/>
    </row>
    <row r="330" spans="1:14" s="577" customFormat="1" ht="10.5">
      <c r="B330" s="715"/>
      <c r="C330" s="578"/>
      <c r="E330" s="578"/>
      <c r="G330" s="578"/>
      <c r="I330" s="578"/>
      <c r="K330" s="578"/>
    </row>
    <row r="331" spans="1:14" s="577" customFormat="1" ht="10.5">
      <c r="B331" s="715"/>
      <c r="C331" s="578"/>
      <c r="E331" s="578"/>
      <c r="G331" s="578"/>
      <c r="I331" s="578"/>
      <c r="K331" s="578"/>
    </row>
    <row r="332" spans="1:14" s="577" customFormat="1" ht="10.5">
      <c r="B332" s="715"/>
      <c r="C332" s="578"/>
      <c r="E332" s="578"/>
      <c r="G332" s="578"/>
      <c r="I332" s="578"/>
      <c r="K332" s="578"/>
    </row>
  </sheetData>
  <sheetProtection algorithmName="SHA-512" hashValue="0ZjCYO7HIBxmS9U2kFpwsZ3gwF/D5EGvnQDu5DPpmK6IUOt6jMbYa8FOhMgr6szui40YEGmTR7akrtnO7swvyg==" saltValue="moiVE+o9P1ZbUQw1r4LW0w==" spinCount="100000" sheet="1" objects="1" scenarios="1"/>
  <mergeCells count="22">
    <mergeCell ref="B323:F323"/>
    <mergeCell ref="K13:L13"/>
    <mergeCell ref="B14:B15"/>
    <mergeCell ref="B296:B297"/>
    <mergeCell ref="B322:F322"/>
    <mergeCell ref="H322:L322"/>
    <mergeCell ref="A3:L3"/>
    <mergeCell ref="A4:L4"/>
    <mergeCell ref="E7:L7"/>
    <mergeCell ref="E8:L8"/>
    <mergeCell ref="B11:B13"/>
    <mergeCell ref="C11:D11"/>
    <mergeCell ref="E11:J11"/>
    <mergeCell ref="K11:L11"/>
    <mergeCell ref="C12:D12"/>
    <mergeCell ref="E12:F12"/>
    <mergeCell ref="G12:H12"/>
    <mergeCell ref="I12:J13"/>
    <mergeCell ref="K12:L12"/>
    <mergeCell ref="C13:D13"/>
    <mergeCell ref="E13:F13"/>
    <mergeCell ref="G13:H13"/>
  </mergeCells>
  <pageMargins left="0.25" right="0.25" top="1" bottom="1" header="0.3" footer="0.3"/>
  <pageSetup paperSize="14" orientation="portrait" verticalDpi="300" r:id="rId1"/>
  <headerFooter>
    <oddHeader>&amp;RPage &amp;P of &amp;N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4"/>
  <sheetViews>
    <sheetView zoomScale="145" zoomScaleNormal="145" workbookViewId="0">
      <selection activeCell="N22" sqref="N22"/>
    </sheetView>
  </sheetViews>
  <sheetFormatPr defaultColWidth="9.140625" defaultRowHeight="15"/>
  <cols>
    <col min="1" max="1" width="28.42578125" style="708" customWidth="1"/>
    <col min="2" max="2" width="10.42578125" style="708" customWidth="1"/>
    <col min="3" max="3" width="1.42578125" style="708" customWidth="1"/>
    <col min="4" max="4" width="10.7109375" style="708" customWidth="1"/>
    <col min="5" max="5" width="1.42578125" style="708" customWidth="1"/>
    <col min="6" max="6" width="10.85546875" style="708" customWidth="1"/>
    <col min="7" max="7" width="1.42578125" style="708" customWidth="1"/>
    <col min="8" max="8" width="13.28515625" style="708" customWidth="1"/>
    <col min="9" max="9" width="1.42578125" style="708" customWidth="1"/>
    <col min="10" max="10" width="11.28515625" style="708" customWidth="1"/>
    <col min="11" max="11" width="1.42578125" style="708" customWidth="1"/>
    <col min="12" max="12" width="11" style="708" customWidth="1"/>
    <col min="13" max="13" width="9.140625" style="708"/>
    <col min="14" max="14" width="12.42578125" style="708" bestFit="1" customWidth="1"/>
    <col min="15" max="16384" width="9.140625" style="708"/>
  </cols>
  <sheetData>
    <row r="1" spans="1:17" s="668" customFormat="1" ht="13.5">
      <c r="A1" s="417" t="s">
        <v>186</v>
      </c>
      <c r="B1" s="663"/>
      <c r="C1" s="417"/>
      <c r="D1" s="418"/>
      <c r="E1" s="417"/>
      <c r="F1" s="418"/>
      <c r="G1" s="417"/>
      <c r="H1" s="418"/>
      <c r="I1" s="417"/>
      <c r="J1" s="418"/>
      <c r="K1" s="417"/>
      <c r="L1" s="418"/>
    </row>
    <row r="2" spans="1:17" s="668" customFormat="1" ht="13.5">
      <c r="A2" s="417"/>
      <c r="B2" s="663"/>
      <c r="C2" s="417"/>
      <c r="D2" s="418"/>
      <c r="E2" s="417"/>
      <c r="F2" s="418"/>
      <c r="G2" s="417"/>
      <c r="H2" s="418"/>
      <c r="I2" s="417"/>
      <c r="J2" s="418"/>
      <c r="K2" s="417"/>
      <c r="L2" s="418"/>
    </row>
    <row r="3" spans="1:17" s="670" customFormat="1" ht="14.25" customHeight="1">
      <c r="A3" s="1383" t="s">
        <v>195</v>
      </c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</row>
    <row r="4" spans="1:17" s="668" customFormat="1" ht="12" customHeight="1">
      <c r="A4" s="1383" t="s">
        <v>401</v>
      </c>
      <c r="B4" s="1383"/>
      <c r="C4" s="1383"/>
      <c r="D4" s="1383"/>
      <c r="E4" s="1383"/>
      <c r="F4" s="1383"/>
      <c r="G4" s="1383"/>
      <c r="H4" s="1383"/>
      <c r="I4" s="1383"/>
      <c r="J4" s="1383"/>
      <c r="K4" s="1383"/>
      <c r="L4" s="1383"/>
      <c r="M4" s="672"/>
      <c r="N4" s="672"/>
      <c r="O4" s="672"/>
      <c r="P4" s="672"/>
      <c r="Q4" s="672"/>
    </row>
    <row r="5" spans="1:17" s="674" customFormat="1" ht="13.5">
      <c r="A5" s="1462"/>
      <c r="B5" s="1462"/>
      <c r="C5" s="1462"/>
      <c r="D5" s="1462"/>
      <c r="E5" s="1462"/>
      <c r="F5" s="1462"/>
      <c r="G5" s="1462"/>
      <c r="H5" s="1462"/>
      <c r="I5" s="1462"/>
      <c r="J5" s="1462"/>
      <c r="K5" s="1462"/>
      <c r="L5" s="1462"/>
      <c r="M5" s="673"/>
      <c r="N5" s="673"/>
      <c r="O5" s="673"/>
      <c r="P5" s="673"/>
      <c r="Q5" s="673"/>
    </row>
    <row r="6" spans="1:17" s="670" customFormat="1" ht="11.25" customHeight="1">
      <c r="C6" s="671"/>
      <c r="E6" s="671"/>
      <c r="G6" s="671"/>
      <c r="I6" s="671"/>
      <c r="K6" s="671"/>
    </row>
    <row r="7" spans="1:17" s="668" customFormat="1" ht="12.75">
      <c r="A7" s="675" t="s">
        <v>966</v>
      </c>
      <c r="C7" s="669"/>
      <c r="E7" s="669"/>
      <c r="G7" s="669"/>
      <c r="I7" s="669"/>
      <c r="K7" s="669"/>
    </row>
    <row r="8" spans="1:17" s="668" customFormat="1" ht="12.75" hidden="1">
      <c r="A8" s="676"/>
      <c r="B8" s="668" t="s">
        <v>2</v>
      </c>
      <c r="C8" s="669"/>
      <c r="E8" s="1463"/>
      <c r="F8" s="1463"/>
      <c r="G8" s="1463"/>
      <c r="H8" s="1463"/>
      <c r="I8" s="1463"/>
      <c r="J8" s="1463"/>
      <c r="K8" s="1463"/>
      <c r="L8" s="1463"/>
    </row>
    <row r="9" spans="1:17" s="668" customFormat="1" ht="12.75" hidden="1">
      <c r="A9" s="676"/>
      <c r="B9" s="668" t="s">
        <v>3</v>
      </c>
      <c r="C9" s="669"/>
      <c r="E9" s="1464"/>
      <c r="F9" s="1464"/>
      <c r="G9" s="1464"/>
      <c r="H9" s="1464"/>
      <c r="I9" s="1464"/>
      <c r="J9" s="1464"/>
      <c r="K9" s="1464"/>
      <c r="L9" s="1464"/>
    </row>
    <row r="10" spans="1:17" s="668" customFormat="1" ht="12.75" hidden="1">
      <c r="A10" s="676"/>
      <c r="B10" s="668" t="s">
        <v>4</v>
      </c>
      <c r="C10" s="669"/>
      <c r="E10" s="669"/>
      <c r="G10" s="669"/>
      <c r="I10" s="669"/>
      <c r="K10" s="669"/>
    </row>
    <row r="11" spans="1:17" s="668" customFormat="1" ht="9.75" customHeight="1">
      <c r="A11" s="676"/>
      <c r="C11" s="669"/>
      <c r="E11" s="669"/>
      <c r="G11" s="669"/>
      <c r="I11" s="669"/>
      <c r="K11" s="669"/>
    </row>
    <row r="12" spans="1:17" s="668" customFormat="1" ht="12.75">
      <c r="A12" s="677"/>
      <c r="B12" s="1470" t="s">
        <v>968</v>
      </c>
      <c r="C12" s="1465" t="s">
        <v>7</v>
      </c>
      <c r="D12" s="1465"/>
      <c r="E12" s="1466" t="s">
        <v>1347</v>
      </c>
      <c r="F12" s="1467"/>
      <c r="G12" s="1467"/>
      <c r="H12" s="1467"/>
      <c r="I12" s="1467"/>
      <c r="J12" s="1468"/>
      <c r="K12" s="1465" t="s">
        <v>8</v>
      </c>
      <c r="L12" s="1465"/>
    </row>
    <row r="13" spans="1:17" s="668" customFormat="1" ht="12.75">
      <c r="A13" s="719" t="s">
        <v>894</v>
      </c>
      <c r="B13" s="1471"/>
      <c r="C13" s="1473">
        <v>2021</v>
      </c>
      <c r="D13" s="1473"/>
      <c r="E13" s="1474" t="s">
        <v>184</v>
      </c>
      <c r="F13" s="1475"/>
      <c r="G13" s="1474" t="s">
        <v>185</v>
      </c>
      <c r="H13" s="1475"/>
      <c r="I13" s="1476" t="s">
        <v>64</v>
      </c>
      <c r="J13" s="1477"/>
      <c r="K13" s="1473">
        <v>2023</v>
      </c>
      <c r="L13" s="1473"/>
    </row>
    <row r="14" spans="1:17" s="668" customFormat="1" ht="12.75">
      <c r="A14" s="678"/>
      <c r="B14" s="1472"/>
      <c r="C14" s="1480" t="s">
        <v>10</v>
      </c>
      <c r="D14" s="1480"/>
      <c r="E14" s="1481" t="s">
        <v>10</v>
      </c>
      <c r="F14" s="1482"/>
      <c r="G14" s="1481" t="s">
        <v>9</v>
      </c>
      <c r="H14" s="1482"/>
      <c r="I14" s="1478"/>
      <c r="J14" s="1479"/>
      <c r="K14" s="1480" t="s">
        <v>27</v>
      </c>
      <c r="L14" s="1480"/>
    </row>
    <row r="15" spans="1:17" s="684" customFormat="1" ht="14.25" customHeight="1">
      <c r="A15" s="680"/>
      <c r="B15" s="679"/>
      <c r="C15" s="709"/>
      <c r="D15" s="710"/>
      <c r="E15" s="682"/>
      <c r="F15" s="681"/>
      <c r="G15" s="682"/>
      <c r="H15" s="681"/>
      <c r="I15" s="682"/>
      <c r="J15" s="681"/>
      <c r="K15" s="682"/>
      <c r="L15" s="681"/>
      <c r="M15" s="683"/>
    </row>
    <row r="16" spans="1:17" s="724" customFormat="1" ht="16.5" customHeight="1">
      <c r="A16" s="720" t="s">
        <v>967</v>
      </c>
      <c r="B16" s="1469" t="s">
        <v>1258</v>
      </c>
      <c r="C16" s="721"/>
      <c r="D16" s="722">
        <v>20000</v>
      </c>
      <c r="E16" s="721"/>
      <c r="F16" s="722">
        <v>0</v>
      </c>
      <c r="G16" s="721"/>
      <c r="H16" s="722">
        <f>J16-F16</f>
        <v>20000</v>
      </c>
      <c r="I16" s="721"/>
      <c r="J16" s="722">
        <v>20000</v>
      </c>
      <c r="K16" s="721"/>
      <c r="L16" s="722">
        <v>100000</v>
      </c>
      <c r="M16" s="723"/>
    </row>
    <row r="17" spans="1:19" s="684" customFormat="1" ht="16.5">
      <c r="A17" s="685"/>
      <c r="B17" s="1469"/>
      <c r="C17" s="682"/>
      <c r="D17" s="681"/>
      <c r="E17" s="682"/>
      <c r="F17" s="681"/>
      <c r="G17" s="682"/>
      <c r="H17" s="681"/>
      <c r="I17" s="682"/>
      <c r="J17" s="681"/>
      <c r="K17" s="682"/>
      <c r="L17" s="681"/>
      <c r="M17" s="683"/>
    </row>
    <row r="18" spans="1:19" s="684" customFormat="1" ht="16.5">
      <c r="A18" s="685"/>
      <c r="B18" s="686"/>
      <c r="C18" s="687"/>
      <c r="D18" s="688"/>
      <c r="E18" s="682"/>
      <c r="F18" s="681"/>
      <c r="G18" s="682"/>
      <c r="H18" s="681"/>
      <c r="I18" s="682"/>
      <c r="J18" s="681"/>
      <c r="K18" s="682"/>
      <c r="L18" s="681"/>
      <c r="M18" s="683"/>
    </row>
    <row r="19" spans="1:19" s="684" customFormat="1" ht="16.5">
      <c r="A19" s="689" t="s">
        <v>86</v>
      </c>
      <c r="B19" s="689"/>
      <c r="C19" s="690" t="s">
        <v>15</v>
      </c>
      <c r="D19" s="691">
        <f>SUM(D15:D17)</f>
        <v>20000</v>
      </c>
      <c r="E19" s="690" t="s">
        <v>15</v>
      </c>
      <c r="F19" s="691">
        <f>SUM(F15:F17)</f>
        <v>0</v>
      </c>
      <c r="G19" s="690" t="s">
        <v>15</v>
      </c>
      <c r="H19" s="691">
        <f>SUM(H15:H17)</f>
        <v>20000</v>
      </c>
      <c r="I19" s="690" t="s">
        <v>15</v>
      </c>
      <c r="J19" s="691">
        <f>SUM(J15:J17)</f>
        <v>20000</v>
      </c>
      <c r="K19" s="690" t="s">
        <v>15</v>
      </c>
      <c r="L19" s="691">
        <f>SUM(L15:L17)</f>
        <v>100000</v>
      </c>
      <c r="M19" s="683"/>
    </row>
    <row r="20" spans="1:19" s="684" customFormat="1" ht="11.25" customHeight="1">
      <c r="A20" s="693"/>
      <c r="B20" s="692"/>
      <c r="C20" s="687"/>
      <c r="D20" s="694"/>
      <c r="E20" s="687"/>
      <c r="F20" s="694"/>
      <c r="G20" s="687"/>
      <c r="H20" s="694"/>
      <c r="I20" s="687"/>
      <c r="J20" s="694"/>
      <c r="K20" s="687"/>
      <c r="L20" s="694"/>
    </row>
    <row r="21" spans="1:19" s="684" customFormat="1" ht="16.5" customHeight="1">
      <c r="A21" s="1153" t="s">
        <v>1623</v>
      </c>
      <c r="B21" s="695"/>
      <c r="C21" s="696"/>
      <c r="D21" s="697"/>
      <c r="E21" s="696"/>
      <c r="F21" s="697"/>
      <c r="G21" s="696"/>
      <c r="H21" s="697"/>
      <c r="I21" s="696"/>
      <c r="J21" s="697"/>
      <c r="K21" s="696"/>
      <c r="L21" s="697"/>
    </row>
    <row r="22" spans="1:19" s="698" customFormat="1" ht="23.25" customHeight="1">
      <c r="A22" s="698" t="s">
        <v>187</v>
      </c>
      <c r="B22" s="699" t="s">
        <v>983</v>
      </c>
      <c r="C22" s="668"/>
      <c r="D22" s="668"/>
      <c r="E22" s="668"/>
      <c r="F22" s="668"/>
      <c r="G22" s="668"/>
      <c r="H22" s="698" t="s">
        <v>984</v>
      </c>
      <c r="O22" s="700"/>
      <c r="Q22" s="701"/>
      <c r="R22" s="701"/>
      <c r="S22" s="701"/>
    </row>
    <row r="23" spans="1:19" s="702" customFormat="1" ht="14.25">
      <c r="C23" s="668"/>
      <c r="D23" s="668"/>
      <c r="E23" s="668"/>
      <c r="F23" s="668"/>
      <c r="G23" s="668"/>
      <c r="I23" s="703"/>
      <c r="M23" s="703"/>
      <c r="O23" s="703"/>
    </row>
    <row r="24" spans="1:19" s="702" customFormat="1" ht="14.25">
      <c r="C24" s="668"/>
      <c r="D24" s="668"/>
      <c r="E24" s="668"/>
      <c r="F24" s="668"/>
      <c r="G24" s="668"/>
      <c r="I24" s="703"/>
      <c r="M24" s="703"/>
      <c r="O24" s="703"/>
    </row>
    <row r="25" spans="1:19" s="702" customFormat="1" ht="14.25">
      <c r="C25" s="668"/>
      <c r="D25" s="668"/>
      <c r="E25" s="668"/>
      <c r="F25" s="668"/>
      <c r="G25" s="668"/>
      <c r="I25" s="703"/>
      <c r="M25" s="703"/>
      <c r="O25" s="703"/>
    </row>
    <row r="26" spans="1:19" s="706" customFormat="1" ht="15" customHeight="1">
      <c r="A26" s="704" t="s">
        <v>1594</v>
      </c>
      <c r="B26" s="705"/>
      <c r="C26" s="668"/>
      <c r="D26" s="668"/>
      <c r="E26" s="668"/>
      <c r="F26" s="668"/>
      <c r="G26" s="668"/>
      <c r="H26" s="705" t="s">
        <v>1595</v>
      </c>
      <c r="I26" s="705"/>
      <c r="M26" s="705"/>
      <c r="N26" s="705"/>
      <c r="O26" s="705"/>
      <c r="P26" s="705"/>
    </row>
    <row r="27" spans="1:19" s="960" customFormat="1">
      <c r="A27" s="956" t="s">
        <v>1596</v>
      </c>
      <c r="B27" s="957"/>
      <c r="C27" s="958"/>
      <c r="D27" s="958"/>
      <c r="E27" s="958"/>
      <c r="F27" s="958"/>
      <c r="G27" s="958"/>
      <c r="H27" s="957"/>
      <c r="I27" s="959" t="s">
        <v>1597</v>
      </c>
      <c r="J27" s="959"/>
      <c r="M27" s="959"/>
      <c r="N27" s="959"/>
      <c r="O27" s="959"/>
    </row>
    <row r="28" spans="1:19" s="668" customFormat="1">
      <c r="C28" s="669"/>
      <c r="E28" s="669"/>
      <c r="G28" s="669"/>
      <c r="I28" s="669"/>
      <c r="J28" s="707"/>
      <c r="K28" s="707"/>
      <c r="L28" s="707"/>
      <c r="M28" s="707"/>
      <c r="N28" s="707"/>
      <c r="O28" s="707"/>
      <c r="P28" s="707"/>
    </row>
    <row r="29" spans="1:19" s="668" customFormat="1" ht="12.75">
      <c r="C29" s="669"/>
      <c r="E29" s="669"/>
      <c r="G29" s="669"/>
      <c r="I29" s="669"/>
      <c r="K29" s="669"/>
    </row>
    <row r="30" spans="1:19" s="668" customFormat="1" ht="12.75">
      <c r="C30" s="669" t="s">
        <v>11</v>
      </c>
      <c r="E30" s="669"/>
      <c r="G30" s="669"/>
      <c r="I30" s="669"/>
      <c r="K30" s="669"/>
    </row>
    <row r="31" spans="1:19" s="668" customFormat="1" ht="12.75">
      <c r="C31" s="669"/>
      <c r="E31" s="669"/>
      <c r="G31" s="669"/>
      <c r="I31" s="669"/>
      <c r="K31" s="669"/>
    </row>
    <row r="32" spans="1:19" s="668" customFormat="1" ht="12.75">
      <c r="C32" s="669"/>
      <c r="E32" s="669"/>
      <c r="G32" s="669"/>
      <c r="I32" s="669"/>
      <c r="K32" s="669"/>
    </row>
    <row r="33" spans="3:11" s="668" customFormat="1" ht="12.75">
      <c r="C33" s="669"/>
      <c r="E33" s="669"/>
      <c r="G33" s="669"/>
      <c r="I33" s="669"/>
      <c r="K33" s="669"/>
    </row>
    <row r="34" spans="3:11" s="668" customFormat="1" ht="12.75">
      <c r="C34" s="669"/>
      <c r="E34" s="669"/>
      <c r="G34" s="669"/>
      <c r="I34" s="669"/>
      <c r="K34" s="669"/>
    </row>
  </sheetData>
  <sheetProtection algorithmName="SHA-512" hashValue="UZT1dOuJTs8jFTXIxlok4Ox+YUNPCb3SwZqHtNWDFnqlq8WsnflIdvm3OBJ//t9cJb0pIKyhlir+K4loETvYCA==" saltValue="foeB5SwUOJr3MxMr0ZF9qQ==" spinCount="100000" sheet="1" objects="1" scenarios="1"/>
  <mergeCells count="19">
    <mergeCell ref="B16:B17"/>
    <mergeCell ref="A3:L3"/>
    <mergeCell ref="B12:B14"/>
    <mergeCell ref="C13:D13"/>
    <mergeCell ref="E13:F13"/>
    <mergeCell ref="G13:H13"/>
    <mergeCell ref="I13:J14"/>
    <mergeCell ref="K13:L13"/>
    <mergeCell ref="C14:D14"/>
    <mergeCell ref="E14:F14"/>
    <mergeCell ref="G14:H14"/>
    <mergeCell ref="K14:L14"/>
    <mergeCell ref="A4:L4"/>
    <mergeCell ref="A5:L5"/>
    <mergeCell ref="E8:L8"/>
    <mergeCell ref="E9:L9"/>
    <mergeCell ref="C12:D12"/>
    <mergeCell ref="E12:J12"/>
    <mergeCell ref="K12:L12"/>
  </mergeCells>
  <pageMargins left="0.15" right="0.15" top="1" bottom="1" header="0.3" footer="0.3"/>
  <pageSetup paperSize="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V99"/>
  <sheetViews>
    <sheetView topLeftCell="A25" zoomScale="145" zoomScaleNormal="145" workbookViewId="0">
      <selection activeCell="A40" sqref="A40"/>
    </sheetView>
  </sheetViews>
  <sheetFormatPr defaultColWidth="9.140625" defaultRowHeight="13.5"/>
  <cols>
    <col min="1" max="1" width="5.7109375" style="86" customWidth="1"/>
    <col min="2" max="2" width="28.85546875" style="86" customWidth="1"/>
    <col min="3" max="3" width="9.140625" style="86" customWidth="1"/>
    <col min="4" max="4" width="1.85546875" style="87" customWidth="1"/>
    <col min="5" max="5" width="10.140625" style="86" customWidth="1"/>
    <col min="6" max="6" width="1.7109375" style="87" customWidth="1"/>
    <col min="7" max="7" width="9" style="86" customWidth="1"/>
    <col min="8" max="8" width="1.28515625" style="87" customWidth="1"/>
    <col min="9" max="9" width="10.140625" style="86" customWidth="1"/>
    <col min="10" max="10" width="2.28515625" style="87" customWidth="1"/>
    <col min="11" max="11" width="10.140625" style="86" customWidth="1"/>
    <col min="12" max="12" width="2.28515625" style="87" customWidth="1"/>
    <col min="13" max="13" width="10.7109375" style="86" customWidth="1"/>
    <col min="14" max="14" width="2.28515625" style="966" hidden="1" customWidth="1"/>
    <col min="15" max="15" width="9.42578125" style="961" hidden="1" customWidth="1"/>
    <col min="16" max="16" width="9.140625" style="961"/>
    <col min="17" max="16384" width="9.140625" style="86"/>
  </cols>
  <sheetData>
    <row r="1" spans="1:20">
      <c r="A1" s="1327" t="s">
        <v>186</v>
      </c>
      <c r="B1" s="1327"/>
    </row>
    <row r="2" spans="1:20" ht="6.75" customHeight="1"/>
    <row r="3" spans="1:20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967"/>
      <c r="O3" s="967"/>
      <c r="P3" s="962"/>
      <c r="Q3" s="88"/>
      <c r="R3" s="88"/>
      <c r="S3" s="88"/>
      <c r="T3" s="88"/>
    </row>
    <row r="4" spans="1:20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967"/>
      <c r="O4" s="967"/>
      <c r="P4" s="962"/>
      <c r="Q4" s="88"/>
      <c r="R4" s="88"/>
      <c r="S4" s="88"/>
      <c r="T4" s="88"/>
    </row>
    <row r="5" spans="1:20" ht="8.25" customHeight="1"/>
    <row r="6" spans="1:20">
      <c r="A6" s="89" t="s">
        <v>85</v>
      </c>
      <c r="B6" s="90" t="s">
        <v>405</v>
      </c>
      <c r="C6" s="90"/>
    </row>
    <row r="7" spans="1:20" hidden="1">
      <c r="A7" s="86" t="s">
        <v>2</v>
      </c>
      <c r="B7" s="91" t="s">
        <v>406</v>
      </c>
      <c r="C7" s="91"/>
      <c r="F7" s="1338"/>
      <c r="G7" s="1338"/>
      <c r="H7" s="1338"/>
      <c r="I7" s="1338"/>
      <c r="J7" s="1338"/>
      <c r="K7" s="1338"/>
      <c r="L7" s="1338"/>
      <c r="M7" s="1338"/>
      <c r="N7" s="968"/>
      <c r="O7" s="968"/>
    </row>
    <row r="8" spans="1:20" hidden="1">
      <c r="A8" s="86" t="s">
        <v>3</v>
      </c>
      <c r="B8" s="91" t="s">
        <v>20</v>
      </c>
      <c r="C8" s="91"/>
      <c r="F8" s="1322"/>
      <c r="G8" s="1322"/>
      <c r="H8" s="1322"/>
      <c r="I8" s="1322"/>
      <c r="J8" s="1322"/>
      <c r="K8" s="1322"/>
      <c r="L8" s="1322"/>
      <c r="M8" s="1322"/>
      <c r="N8" s="962"/>
      <c r="O8" s="962"/>
    </row>
    <row r="9" spans="1:20" hidden="1">
      <c r="A9" s="86" t="s">
        <v>4</v>
      </c>
      <c r="B9" s="91" t="s">
        <v>404</v>
      </c>
      <c r="C9" s="91"/>
    </row>
    <row r="10" spans="1:20" ht="10.5" customHeight="1"/>
    <row r="11" spans="1:20">
      <c r="A11" s="93"/>
      <c r="B11" s="94"/>
      <c r="C11" s="2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328" t="s">
        <v>494</v>
      </c>
      <c r="O11" s="1329"/>
    </row>
    <row r="12" spans="1:20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330"/>
      <c r="O12" s="1331"/>
    </row>
    <row r="13" spans="1:20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332"/>
      <c r="O13" s="1333"/>
    </row>
    <row r="14" spans="1:20" ht="9" customHeight="1">
      <c r="A14" s="114"/>
      <c r="B14" s="115"/>
      <c r="C14" s="140"/>
      <c r="D14" s="120"/>
      <c r="E14" s="117"/>
      <c r="F14" s="120"/>
      <c r="G14" s="117"/>
      <c r="H14" s="120"/>
      <c r="I14" s="117"/>
      <c r="J14" s="120"/>
      <c r="K14" s="117"/>
      <c r="L14" s="120"/>
      <c r="M14" s="117"/>
      <c r="N14" s="969"/>
      <c r="O14" s="970"/>
    </row>
    <row r="15" spans="1:20">
      <c r="A15" s="97" t="s">
        <v>282</v>
      </c>
      <c r="B15" s="98"/>
      <c r="C15" s="99"/>
      <c r="D15" s="100"/>
      <c r="E15" s="141"/>
      <c r="F15" s="100"/>
      <c r="G15" s="141"/>
      <c r="H15" s="100"/>
      <c r="I15" s="141"/>
      <c r="J15" s="100"/>
      <c r="K15" s="141"/>
      <c r="L15" s="100"/>
      <c r="M15" s="141"/>
      <c r="N15" s="971"/>
      <c r="O15" s="972"/>
    </row>
    <row r="16" spans="1:20">
      <c r="A16" s="101" t="s">
        <v>41</v>
      </c>
      <c r="B16" s="98"/>
      <c r="C16" s="102" t="s">
        <v>126</v>
      </c>
      <c r="D16" s="100" t="s">
        <v>15</v>
      </c>
      <c r="E16" s="141">
        <v>3125</v>
      </c>
      <c r="F16" s="100" t="s">
        <v>15</v>
      </c>
      <c r="G16" s="141">
        <v>0</v>
      </c>
      <c r="H16" s="100" t="s">
        <v>15</v>
      </c>
      <c r="I16" s="141">
        <f>K16-G16</f>
        <v>25000</v>
      </c>
      <c r="J16" s="100" t="s">
        <v>15</v>
      </c>
      <c r="K16" s="141">
        <v>25000</v>
      </c>
      <c r="L16" s="100" t="s">
        <v>15</v>
      </c>
      <c r="M16" s="141">
        <v>20000</v>
      </c>
      <c r="N16" s="973" t="s">
        <v>15</v>
      </c>
      <c r="O16" s="974">
        <f>M16-K16</f>
        <v>-5000</v>
      </c>
    </row>
    <row r="17" spans="1:16">
      <c r="A17" s="101" t="s">
        <v>42</v>
      </c>
      <c r="B17" s="98"/>
      <c r="C17" s="102" t="s">
        <v>127</v>
      </c>
      <c r="D17" s="100"/>
      <c r="E17" s="143">
        <v>2000</v>
      </c>
      <c r="F17" s="100"/>
      <c r="G17" s="141">
        <v>0</v>
      </c>
      <c r="H17" s="100"/>
      <c r="I17" s="141">
        <f t="shared" ref="I17:I27" si="0">K17-G17</f>
        <v>20000</v>
      </c>
      <c r="J17" s="100"/>
      <c r="K17" s="141">
        <v>20000</v>
      </c>
      <c r="L17" s="100"/>
      <c r="M17" s="141">
        <v>15000</v>
      </c>
      <c r="N17" s="975"/>
      <c r="O17" s="974">
        <f t="shared" ref="O17:O19" si="1">M17-K17</f>
        <v>-5000</v>
      </c>
    </row>
    <row r="18" spans="1:16">
      <c r="A18" s="101" t="s">
        <v>28</v>
      </c>
      <c r="B18" s="98"/>
      <c r="C18" s="102" t="s">
        <v>128</v>
      </c>
      <c r="D18" s="100"/>
      <c r="E18" s="143">
        <v>13020</v>
      </c>
      <c r="F18" s="100"/>
      <c r="G18" s="141">
        <v>9140.4</v>
      </c>
      <c r="H18" s="100"/>
      <c r="I18" s="141">
        <f t="shared" si="0"/>
        <v>69859.600000000006</v>
      </c>
      <c r="J18" s="100"/>
      <c r="K18" s="141">
        <f>29000+50000</f>
        <v>79000</v>
      </c>
      <c r="L18" s="100"/>
      <c r="M18" s="141">
        <v>50000</v>
      </c>
      <c r="N18" s="975"/>
      <c r="O18" s="974">
        <f t="shared" si="1"/>
        <v>-29000</v>
      </c>
    </row>
    <row r="19" spans="1:16">
      <c r="A19" s="101" t="s">
        <v>130</v>
      </c>
      <c r="B19" s="98"/>
      <c r="C19" s="102" t="s">
        <v>129</v>
      </c>
      <c r="D19" s="100"/>
      <c r="E19" s="143">
        <v>10500</v>
      </c>
      <c r="F19" s="100"/>
      <c r="G19" s="141">
        <v>2098.5</v>
      </c>
      <c r="H19" s="100"/>
      <c r="I19" s="141">
        <f t="shared" si="0"/>
        <v>17901.5</v>
      </c>
      <c r="J19" s="100"/>
      <c r="K19" s="141">
        <v>20000</v>
      </c>
      <c r="L19" s="100"/>
      <c r="M19" s="141">
        <v>50000</v>
      </c>
      <c r="N19" s="975"/>
      <c r="O19" s="974">
        <f t="shared" si="1"/>
        <v>30000</v>
      </c>
    </row>
    <row r="20" spans="1:16">
      <c r="A20" s="101" t="s">
        <v>0</v>
      </c>
      <c r="B20" s="98"/>
      <c r="C20" s="102" t="s">
        <v>164</v>
      </c>
      <c r="D20" s="100"/>
      <c r="E20" s="143">
        <v>0</v>
      </c>
      <c r="F20" s="100"/>
      <c r="G20" s="141"/>
      <c r="H20" s="100"/>
      <c r="I20" s="141">
        <f t="shared" si="0"/>
        <v>0</v>
      </c>
      <c r="J20" s="100"/>
      <c r="K20" s="141"/>
      <c r="L20" s="100"/>
      <c r="M20" s="141"/>
      <c r="N20" s="975"/>
      <c r="O20" s="976"/>
    </row>
    <row r="21" spans="1:16">
      <c r="A21" s="101" t="s">
        <v>142</v>
      </c>
      <c r="B21" s="98"/>
      <c r="C21" s="102" t="s">
        <v>141</v>
      </c>
      <c r="D21" s="100"/>
      <c r="E21" s="143">
        <v>0</v>
      </c>
      <c r="F21" s="100"/>
      <c r="G21" s="141"/>
      <c r="H21" s="100"/>
      <c r="I21" s="141">
        <f t="shared" si="0"/>
        <v>0</v>
      </c>
      <c r="J21" s="100"/>
      <c r="K21" s="141"/>
      <c r="L21" s="100"/>
      <c r="M21" s="141"/>
      <c r="N21" s="975"/>
      <c r="O21" s="976"/>
    </row>
    <row r="22" spans="1:16">
      <c r="A22" s="101" t="s">
        <v>31</v>
      </c>
      <c r="B22" s="98"/>
      <c r="C22" s="102" t="s">
        <v>146</v>
      </c>
      <c r="D22" s="100"/>
      <c r="E22" s="143">
        <v>703000</v>
      </c>
      <c r="F22" s="100"/>
      <c r="G22" s="141">
        <v>352000</v>
      </c>
      <c r="H22" s="100"/>
      <c r="I22" s="141">
        <f t="shared" si="0"/>
        <v>798000</v>
      </c>
      <c r="J22" s="100"/>
      <c r="K22" s="141">
        <f>150000+1000000</f>
        <v>1150000</v>
      </c>
      <c r="L22" s="100"/>
      <c r="M22" s="141">
        <v>902640</v>
      </c>
      <c r="N22" s="975"/>
      <c r="O22" s="974">
        <f t="shared" ref="O22" si="2">M22-K22</f>
        <v>-247360</v>
      </c>
      <c r="P22" s="961" t="s">
        <v>1090</v>
      </c>
    </row>
    <row r="23" spans="1:16">
      <c r="A23" s="101" t="s">
        <v>33</v>
      </c>
      <c r="B23" s="119"/>
      <c r="C23" s="102" t="s">
        <v>148</v>
      </c>
      <c r="D23" s="100"/>
      <c r="E23" s="143"/>
      <c r="F23" s="100"/>
      <c r="G23" s="141"/>
      <c r="H23" s="100"/>
      <c r="I23" s="141"/>
      <c r="J23" s="100"/>
      <c r="K23" s="141"/>
      <c r="L23" s="100"/>
      <c r="M23" s="141"/>
      <c r="N23" s="975"/>
      <c r="O23" s="976"/>
    </row>
    <row r="24" spans="1:16">
      <c r="A24" s="101"/>
      <c r="B24" s="7" t="s">
        <v>72</v>
      </c>
      <c r="C24" s="102"/>
      <c r="D24" s="100"/>
      <c r="E24" s="143">
        <v>107208</v>
      </c>
      <c r="F24" s="100"/>
      <c r="G24" s="141">
        <v>31980</v>
      </c>
      <c r="H24" s="100"/>
      <c r="I24" s="141">
        <f t="shared" si="0"/>
        <v>183020</v>
      </c>
      <c r="J24" s="100"/>
      <c r="K24" s="7">
        <v>215000</v>
      </c>
      <c r="L24" s="100"/>
      <c r="M24" s="7">
        <v>170000</v>
      </c>
      <c r="N24" s="975"/>
      <c r="O24" s="974">
        <f t="shared" ref="O24:O27" si="3">M24-K24</f>
        <v>-45000</v>
      </c>
    </row>
    <row r="25" spans="1:16">
      <c r="A25" s="101"/>
      <c r="B25" s="7" t="s">
        <v>73</v>
      </c>
      <c r="C25" s="102"/>
      <c r="D25" s="100"/>
      <c r="E25" s="143">
        <v>300071.7</v>
      </c>
      <c r="F25" s="100"/>
      <c r="G25" s="141">
        <v>0</v>
      </c>
      <c r="H25" s="100"/>
      <c r="I25" s="141">
        <f t="shared" si="0"/>
        <v>500000</v>
      </c>
      <c r="J25" s="100"/>
      <c r="K25" s="7">
        <v>500000</v>
      </c>
      <c r="L25" s="100"/>
      <c r="M25" s="7">
        <v>400000</v>
      </c>
      <c r="N25" s="975"/>
      <c r="O25" s="974">
        <f t="shared" si="3"/>
        <v>-100000</v>
      </c>
    </row>
    <row r="26" spans="1:16">
      <c r="A26" s="101"/>
      <c r="B26" s="7" t="s">
        <v>510</v>
      </c>
      <c r="C26" s="102"/>
      <c r="D26" s="100"/>
      <c r="E26" s="143">
        <v>666360</v>
      </c>
      <c r="F26" s="100"/>
      <c r="G26" s="141">
        <v>166590</v>
      </c>
      <c r="H26" s="100"/>
      <c r="I26" s="141">
        <f t="shared" si="0"/>
        <v>499770</v>
      </c>
      <c r="J26" s="100"/>
      <c r="K26" s="7">
        <v>666360</v>
      </c>
      <c r="L26" s="100"/>
      <c r="M26" s="7">
        <v>666360</v>
      </c>
      <c r="N26" s="975"/>
      <c r="O26" s="974">
        <f t="shared" si="3"/>
        <v>0</v>
      </c>
    </row>
    <row r="27" spans="1:16">
      <c r="A27" s="101"/>
      <c r="B27" s="7" t="s">
        <v>342</v>
      </c>
      <c r="C27" s="102"/>
      <c r="D27" s="100"/>
      <c r="E27" s="143">
        <v>95000</v>
      </c>
      <c r="F27" s="100"/>
      <c r="G27" s="141">
        <v>18616</v>
      </c>
      <c r="H27" s="100"/>
      <c r="I27" s="141">
        <f t="shared" si="0"/>
        <v>76384</v>
      </c>
      <c r="J27" s="100"/>
      <c r="K27" s="105">
        <v>95000</v>
      </c>
      <c r="L27" s="104"/>
      <c r="M27" s="105">
        <v>95000</v>
      </c>
      <c r="N27" s="975"/>
      <c r="O27" s="974">
        <f t="shared" si="3"/>
        <v>0</v>
      </c>
    </row>
    <row r="28" spans="1:16">
      <c r="A28" s="1325" t="s">
        <v>13</v>
      </c>
      <c r="B28" s="1326"/>
      <c r="C28" s="102"/>
      <c r="D28" s="109" t="s">
        <v>15</v>
      </c>
      <c r="E28" s="154">
        <f>SUM(E16:E27)</f>
        <v>1900284.7</v>
      </c>
      <c r="F28" s="109" t="s">
        <v>15</v>
      </c>
      <c r="G28" s="154">
        <f>SUM(G16:G27)</f>
        <v>580424.9</v>
      </c>
      <c r="H28" s="109" t="s">
        <v>15</v>
      </c>
      <c r="I28" s="154">
        <f>SUM(I16:I27)</f>
        <v>2189935.1</v>
      </c>
      <c r="J28" s="109" t="s">
        <v>15</v>
      </c>
      <c r="K28" s="154">
        <f>SUM(K16:K27)</f>
        <v>2770360</v>
      </c>
      <c r="L28" s="109" t="s">
        <v>15</v>
      </c>
      <c r="M28" s="154">
        <f>SUM(M16:M27)</f>
        <v>2369000</v>
      </c>
      <c r="N28" s="977" t="s">
        <v>15</v>
      </c>
      <c r="O28" s="978">
        <f>SUM(O16:O27)</f>
        <v>-401360</v>
      </c>
      <c r="P28" s="963">
        <f>M28-K28</f>
        <v>-401360</v>
      </c>
    </row>
    <row r="29" spans="1:16">
      <c r="A29" s="121" t="s">
        <v>283</v>
      </c>
      <c r="B29" s="119"/>
      <c r="C29" s="102"/>
      <c r="D29" s="122"/>
      <c r="E29" s="152"/>
      <c r="F29" s="122"/>
      <c r="G29" s="152"/>
      <c r="H29" s="122"/>
      <c r="I29" s="152"/>
      <c r="J29" s="122"/>
      <c r="K29" s="152"/>
      <c r="L29" s="122"/>
      <c r="M29" s="152"/>
      <c r="N29" s="979"/>
      <c r="O29" s="980"/>
    </row>
    <row r="30" spans="1:16">
      <c r="A30" s="124" t="s">
        <v>51</v>
      </c>
      <c r="B30" s="119"/>
      <c r="C30" s="102" t="s">
        <v>149</v>
      </c>
      <c r="D30" s="100" t="s">
        <v>15</v>
      </c>
      <c r="E30" s="141"/>
      <c r="F30" s="100" t="s">
        <v>15</v>
      </c>
      <c r="G30" s="152"/>
      <c r="H30" s="100" t="s">
        <v>15</v>
      </c>
      <c r="I30" s="141"/>
      <c r="J30" s="100" t="s">
        <v>15</v>
      </c>
      <c r="K30" s="141"/>
      <c r="L30" s="100" t="s">
        <v>15</v>
      </c>
      <c r="M30" s="141"/>
      <c r="N30" s="971" t="s">
        <v>15</v>
      </c>
      <c r="O30" s="972"/>
    </row>
    <row r="31" spans="1:16">
      <c r="A31" s="124" t="s">
        <v>1005</v>
      </c>
      <c r="B31" s="753"/>
      <c r="C31" s="102"/>
      <c r="D31" s="122"/>
      <c r="E31" s="141"/>
      <c r="F31" s="122"/>
      <c r="G31" s="152"/>
      <c r="H31" s="122"/>
      <c r="I31" s="141">
        <f t="shared" ref="I31" si="4">K31-G31</f>
        <v>40000</v>
      </c>
      <c r="J31" s="122"/>
      <c r="K31" s="141">
        <v>40000</v>
      </c>
      <c r="L31" s="122"/>
      <c r="M31" s="141">
        <v>0</v>
      </c>
      <c r="N31" s="979"/>
      <c r="O31" s="972">
        <v>0</v>
      </c>
    </row>
    <row r="32" spans="1:16">
      <c r="A32" s="124" t="s">
        <v>152</v>
      </c>
      <c r="B32" s="119"/>
      <c r="C32" s="102" t="s">
        <v>150</v>
      </c>
      <c r="D32" s="122"/>
      <c r="E32" s="141"/>
      <c r="F32" s="122"/>
      <c r="G32" s="152"/>
      <c r="H32" s="122"/>
      <c r="I32" s="141">
        <f>K32-G32</f>
        <v>0</v>
      </c>
      <c r="J32" s="122"/>
      <c r="K32" s="141"/>
      <c r="L32" s="122"/>
      <c r="M32" s="141"/>
      <c r="N32" s="979"/>
      <c r="O32" s="972"/>
    </row>
    <row r="33" spans="1:22">
      <c r="A33" s="124" t="s">
        <v>491</v>
      </c>
      <c r="B33" s="753"/>
      <c r="C33" s="102"/>
      <c r="D33" s="122"/>
      <c r="E33" s="141"/>
      <c r="F33" s="122"/>
      <c r="G33" s="152">
        <v>0</v>
      </c>
      <c r="H33" s="122"/>
      <c r="I33" s="141">
        <f t="shared" ref="I33" si="5">K33-G33</f>
        <v>30000</v>
      </c>
      <c r="J33" s="122"/>
      <c r="K33" s="141">
        <v>30000</v>
      </c>
      <c r="L33" s="122"/>
      <c r="M33" s="141">
        <v>0</v>
      </c>
      <c r="N33" s="979"/>
      <c r="O33" s="972">
        <v>0</v>
      </c>
    </row>
    <row r="34" spans="1:22">
      <c r="A34" s="124" t="s">
        <v>1004</v>
      </c>
      <c r="B34" s="278"/>
      <c r="C34" s="102"/>
      <c r="D34" s="122"/>
      <c r="E34" s="141"/>
      <c r="F34" s="122"/>
      <c r="G34" s="152">
        <v>0</v>
      </c>
      <c r="H34" s="122"/>
      <c r="I34" s="141">
        <f t="shared" ref="I34" si="6">K34-G34</f>
        <v>30000</v>
      </c>
      <c r="J34" s="122"/>
      <c r="K34" s="141">
        <v>30000</v>
      </c>
      <c r="L34" s="122"/>
      <c r="M34" s="141">
        <v>0</v>
      </c>
      <c r="N34" s="979"/>
      <c r="O34" s="972">
        <v>0</v>
      </c>
    </row>
    <row r="35" spans="1:22">
      <c r="A35" s="124" t="s">
        <v>153</v>
      </c>
      <c r="B35" s="119"/>
      <c r="C35" s="102" t="s">
        <v>151</v>
      </c>
      <c r="D35" s="122"/>
      <c r="E35" s="141"/>
      <c r="F35" s="122"/>
      <c r="G35" s="141"/>
      <c r="H35" s="122"/>
      <c r="I35" s="141"/>
      <c r="J35" s="122"/>
      <c r="K35" s="141"/>
      <c r="L35" s="122"/>
      <c r="M35" s="142"/>
      <c r="N35" s="979"/>
      <c r="O35" s="972"/>
    </row>
    <row r="36" spans="1:22">
      <c r="A36" s="1325" t="s">
        <v>16</v>
      </c>
      <c r="B36" s="1326"/>
      <c r="C36" s="102"/>
      <c r="D36" s="109" t="s">
        <v>15</v>
      </c>
      <c r="E36" s="154">
        <f>SUM(E30:E35)</f>
        <v>0</v>
      </c>
      <c r="F36" s="109" t="s">
        <v>15</v>
      </c>
      <c r="G36" s="154">
        <f>SUM(G30:G35)</f>
        <v>0</v>
      </c>
      <c r="H36" s="109" t="s">
        <v>15</v>
      </c>
      <c r="I36" s="154">
        <f>SUM(I30:I35)</f>
        <v>100000</v>
      </c>
      <c r="J36" s="109" t="s">
        <v>15</v>
      </c>
      <c r="K36" s="154">
        <f>SUM(K30:K35)</f>
        <v>100000</v>
      </c>
      <c r="L36" s="109" t="s">
        <v>15</v>
      </c>
      <c r="M36" s="154">
        <f>SUM(M30:M35)</f>
        <v>0</v>
      </c>
      <c r="N36" s="977" t="s">
        <v>15</v>
      </c>
      <c r="O36" s="978">
        <f>M36-K36</f>
        <v>-100000</v>
      </c>
    </row>
    <row r="37" spans="1:22" ht="5.25" customHeight="1">
      <c r="A37" s="155"/>
      <c r="B37" s="147"/>
      <c r="C37" s="102"/>
      <c r="D37" s="120"/>
      <c r="E37" s="143"/>
      <c r="F37" s="120"/>
      <c r="G37" s="143"/>
      <c r="H37" s="120"/>
      <c r="I37" s="143"/>
      <c r="J37" s="120"/>
      <c r="K37" s="143"/>
      <c r="L37" s="120"/>
      <c r="M37" s="141"/>
      <c r="N37" s="969"/>
      <c r="O37" s="972"/>
    </row>
    <row r="38" spans="1:22">
      <c r="A38" s="1336" t="s">
        <v>277</v>
      </c>
      <c r="B38" s="1337"/>
      <c r="C38" s="113"/>
      <c r="D38" s="125" t="s">
        <v>15</v>
      </c>
      <c r="E38" s="151">
        <f>E36+E28</f>
        <v>1900284.7</v>
      </c>
      <c r="F38" s="125" t="s">
        <v>15</v>
      </c>
      <c r="G38" s="151">
        <f>G36+G28</f>
        <v>580424.9</v>
      </c>
      <c r="H38" s="125" t="s">
        <v>15</v>
      </c>
      <c r="I38" s="151">
        <f>I36+I28</f>
        <v>2289935.1</v>
      </c>
      <c r="J38" s="125" t="s">
        <v>15</v>
      </c>
      <c r="K38" s="151">
        <f>K36+K28</f>
        <v>2870360</v>
      </c>
      <c r="L38" s="125" t="s">
        <v>15</v>
      </c>
      <c r="M38" s="156">
        <f>M36+M28</f>
        <v>2369000</v>
      </c>
      <c r="N38" s="981" t="s">
        <v>15</v>
      </c>
      <c r="O38" s="982">
        <f>O36+O28</f>
        <v>-501360</v>
      </c>
    </row>
    <row r="39" spans="1:22" ht="9" customHeight="1">
      <c r="A39" s="916"/>
      <c r="B39" s="916"/>
      <c r="C39" s="915"/>
      <c r="D39" s="149"/>
      <c r="E39" s="150"/>
      <c r="F39" s="149"/>
      <c r="G39" s="150"/>
      <c r="H39" s="149"/>
      <c r="I39" s="150"/>
      <c r="J39" s="149"/>
      <c r="K39" s="150"/>
      <c r="L39" s="149"/>
      <c r="M39" s="150"/>
      <c r="N39" s="1002"/>
      <c r="O39" s="1001"/>
    </row>
    <row r="40" spans="1:22" ht="10.5" customHeight="1">
      <c r="A40" s="1151" t="s">
        <v>1623</v>
      </c>
      <c r="B40" s="147"/>
      <c r="C40" s="108"/>
      <c r="D40" s="111"/>
      <c r="E40" s="157"/>
      <c r="F40" s="111"/>
      <c r="G40" s="157"/>
      <c r="H40" s="111"/>
      <c r="I40" s="157"/>
      <c r="J40" s="111"/>
      <c r="K40" s="157"/>
      <c r="L40" s="111"/>
      <c r="M40" s="157"/>
      <c r="N40" s="983"/>
      <c r="O40" s="984"/>
    </row>
    <row r="41" spans="1:22" ht="9" customHeight="1">
      <c r="A41" s="147"/>
      <c r="B41" s="147"/>
      <c r="C41" s="108"/>
      <c r="D41" s="111"/>
      <c r="E41" s="157"/>
      <c r="F41" s="111"/>
      <c r="G41" s="157"/>
      <c r="H41" s="111"/>
      <c r="I41" s="157"/>
      <c r="J41" s="111"/>
      <c r="K41" s="157"/>
      <c r="L41" s="111"/>
      <c r="M41" s="157"/>
      <c r="N41" s="983"/>
      <c r="O41" s="984"/>
    </row>
    <row r="42" spans="1:22" ht="4.5" customHeight="1">
      <c r="A42" s="147"/>
      <c r="B42" s="147"/>
      <c r="C42" s="108"/>
      <c r="D42" s="111"/>
      <c r="E42" s="157"/>
      <c r="F42" s="111"/>
      <c r="G42" s="157"/>
      <c r="H42" s="111"/>
      <c r="I42" s="157"/>
      <c r="J42" s="111"/>
      <c r="K42" s="157"/>
      <c r="L42" s="111"/>
      <c r="M42" s="157"/>
      <c r="N42" s="983"/>
      <c r="O42" s="984"/>
    </row>
    <row r="43" spans="1:22" ht="4.5" customHeight="1">
      <c r="A43" s="147"/>
      <c r="B43" s="147"/>
      <c r="C43" s="108"/>
      <c r="D43" s="111"/>
      <c r="E43" s="157"/>
      <c r="F43" s="111"/>
      <c r="G43" s="157"/>
      <c r="H43" s="111"/>
      <c r="I43" s="157"/>
      <c r="J43" s="111"/>
      <c r="K43" s="157"/>
      <c r="L43" s="111"/>
      <c r="M43" s="157"/>
      <c r="N43" s="983"/>
      <c r="O43" s="984"/>
    </row>
    <row r="44" spans="1:22" ht="4.5" customHeight="1">
      <c r="A44" s="147"/>
      <c r="B44" s="147"/>
      <c r="C44" s="108"/>
      <c r="D44" s="111"/>
      <c r="E44" s="157"/>
      <c r="F44" s="111"/>
      <c r="G44" s="157"/>
      <c r="H44" s="111"/>
      <c r="I44" s="157"/>
      <c r="J44" s="111"/>
      <c r="K44" s="157"/>
      <c r="L44" s="111"/>
      <c r="M44" s="157"/>
      <c r="N44" s="983"/>
      <c r="O44" s="984"/>
    </row>
    <row r="45" spans="1:22" ht="4.5" customHeight="1">
      <c r="A45" s="147"/>
      <c r="B45" s="147"/>
      <c r="C45" s="108"/>
      <c r="D45" s="111"/>
      <c r="E45" s="157"/>
      <c r="F45" s="111"/>
      <c r="G45" s="157"/>
      <c r="H45" s="111"/>
      <c r="I45" s="157"/>
      <c r="J45" s="111"/>
      <c r="K45" s="157"/>
      <c r="L45" s="111"/>
      <c r="M45" s="157"/>
      <c r="N45" s="983"/>
      <c r="O45" s="984"/>
    </row>
    <row r="46" spans="1:22" s="127" customFormat="1">
      <c r="A46" s="127" t="s">
        <v>187</v>
      </c>
      <c r="C46" s="128" t="s">
        <v>188</v>
      </c>
      <c r="F46" s="129"/>
      <c r="I46" s="127" t="s">
        <v>190</v>
      </c>
      <c r="L46" s="129"/>
      <c r="N46" s="964"/>
      <c r="O46" s="985"/>
      <c r="P46" s="964"/>
      <c r="R46" s="130"/>
      <c r="S46" s="130"/>
      <c r="T46" s="130"/>
      <c r="U46" s="130"/>
      <c r="V46" s="130"/>
    </row>
    <row r="47" spans="1:22" s="127" customFormat="1">
      <c r="C47" s="128"/>
      <c r="F47" s="129"/>
      <c r="L47" s="129"/>
      <c r="N47" s="964"/>
      <c r="O47" s="985"/>
      <c r="P47" s="964"/>
      <c r="R47" s="130"/>
      <c r="S47" s="130"/>
      <c r="T47" s="130"/>
      <c r="U47" s="130"/>
      <c r="V47" s="130"/>
    </row>
    <row r="48" spans="1:22" s="127" customFormat="1" ht="5.25" customHeight="1">
      <c r="C48" s="128"/>
      <c r="F48" s="129"/>
      <c r="L48" s="129"/>
      <c r="N48" s="964"/>
      <c r="O48" s="985"/>
      <c r="P48" s="964"/>
      <c r="R48" s="130"/>
      <c r="S48" s="130"/>
      <c r="T48" s="130"/>
      <c r="U48" s="130"/>
      <c r="V48" s="130"/>
    </row>
    <row r="49" spans="1:16" ht="10.5" customHeight="1"/>
    <row r="50" spans="1:16" s="89" customFormat="1">
      <c r="A50" s="1323" t="s">
        <v>1598</v>
      </c>
      <c r="B50" s="1323"/>
      <c r="C50" s="1323" t="s">
        <v>1584</v>
      </c>
      <c r="D50" s="1323"/>
      <c r="E50" s="1323"/>
      <c r="F50" s="1323"/>
      <c r="G50" s="1323"/>
      <c r="H50" s="1323" t="s">
        <v>1585</v>
      </c>
      <c r="I50" s="1323"/>
      <c r="J50" s="1323"/>
      <c r="K50" s="1323"/>
      <c r="L50" s="1323"/>
      <c r="M50" s="1323"/>
      <c r="N50" s="967"/>
      <c r="O50" s="967"/>
      <c r="P50" s="965"/>
    </row>
    <row r="51" spans="1:16" ht="15" customHeight="1">
      <c r="A51" s="1322" t="s">
        <v>201</v>
      </c>
      <c r="B51" s="1322"/>
      <c r="C51" s="1322" t="s">
        <v>198</v>
      </c>
      <c r="D51" s="1322"/>
      <c r="E51" s="1322"/>
      <c r="F51" s="1322"/>
      <c r="G51" s="1322"/>
      <c r="H51" s="1322" t="s">
        <v>192</v>
      </c>
      <c r="I51" s="1322"/>
      <c r="J51" s="1322"/>
      <c r="K51" s="1322"/>
      <c r="L51" s="1322"/>
      <c r="M51" s="1322"/>
      <c r="N51" s="962"/>
      <c r="O51" s="962"/>
    </row>
    <row r="52" spans="1:16" ht="15" customHeight="1">
      <c r="A52" s="132" t="s">
        <v>200</v>
      </c>
      <c r="B52" s="132"/>
      <c r="C52" s="89"/>
      <c r="D52" s="131"/>
      <c r="E52" s="132"/>
      <c r="F52" s="132"/>
      <c r="G52" s="132"/>
      <c r="H52" s="132"/>
      <c r="I52" s="132"/>
      <c r="J52" s="132"/>
      <c r="K52" s="132"/>
      <c r="L52" s="132"/>
      <c r="M52" s="132"/>
      <c r="N52" s="986"/>
      <c r="O52" s="986"/>
    </row>
    <row r="53" spans="1:16">
      <c r="A53" s="133" t="s">
        <v>202</v>
      </c>
      <c r="B53" s="133"/>
      <c r="E53" s="133"/>
      <c r="F53" s="133"/>
      <c r="G53" s="133"/>
      <c r="H53" s="133"/>
      <c r="I53" s="133"/>
      <c r="J53" s="133"/>
      <c r="K53" s="133"/>
      <c r="L53" s="133"/>
      <c r="M53" s="133"/>
      <c r="N53" s="987"/>
      <c r="O53" s="987"/>
    </row>
    <row r="76" spans="1:14">
      <c r="A76" s="134" t="s">
        <v>238</v>
      </c>
      <c r="B76" s="92"/>
      <c r="C76" s="92"/>
      <c r="D76" s="116"/>
      <c r="E76" s="115"/>
      <c r="F76" s="86"/>
      <c r="H76" s="86"/>
      <c r="J76" s="86"/>
      <c r="L76" s="86"/>
      <c r="N76" s="961"/>
    </row>
    <row r="77" spans="1:14">
      <c r="A77" s="1324" t="s">
        <v>60</v>
      </c>
      <c r="B77" s="1311"/>
      <c r="C77" s="108"/>
      <c r="D77" s="111"/>
      <c r="E77" s="98"/>
      <c r="F77" s="86"/>
      <c r="H77" s="86"/>
      <c r="J77" s="86"/>
      <c r="L77" s="86"/>
      <c r="N77" s="961"/>
    </row>
    <row r="78" spans="1:14">
      <c r="A78" s="101" t="s">
        <v>233</v>
      </c>
      <c r="B78" s="108"/>
      <c r="C78" s="108"/>
      <c r="D78" s="111"/>
      <c r="E78" s="135" t="s">
        <v>228</v>
      </c>
      <c r="F78" s="86"/>
      <c r="H78" s="86"/>
      <c r="J78" s="86"/>
      <c r="L78" s="86"/>
      <c r="N78" s="961"/>
    </row>
    <row r="79" spans="1:14">
      <c r="A79" s="101"/>
      <c r="B79" s="108"/>
      <c r="C79" s="108"/>
      <c r="D79" s="111"/>
      <c r="E79" s="98"/>
      <c r="F79" s="86"/>
      <c r="H79" s="86"/>
      <c r="J79" s="86"/>
      <c r="L79" s="86"/>
      <c r="N79" s="961"/>
    </row>
    <row r="80" spans="1:14">
      <c r="A80" s="136" t="s">
        <v>72</v>
      </c>
      <c r="B80" s="108"/>
      <c r="C80" s="108"/>
      <c r="D80" s="111" t="s">
        <v>15</v>
      </c>
      <c r="E80" s="7">
        <v>172640</v>
      </c>
      <c r="F80" s="86"/>
      <c r="H80" s="86"/>
      <c r="J80" s="86"/>
      <c r="L80" s="86"/>
      <c r="N80" s="961"/>
    </row>
    <row r="81" spans="1:14">
      <c r="A81" s="136" t="s">
        <v>73</v>
      </c>
      <c r="B81" s="108"/>
      <c r="C81" s="108"/>
      <c r="D81" s="111"/>
      <c r="E81" s="7">
        <v>450000</v>
      </c>
      <c r="F81" s="86"/>
      <c r="H81" s="86"/>
      <c r="J81" s="86"/>
      <c r="L81" s="86"/>
      <c r="N81" s="961"/>
    </row>
    <row r="82" spans="1:14">
      <c r="A82" s="136" t="s">
        <v>74</v>
      </c>
      <c r="B82" s="108"/>
      <c r="C82" s="108"/>
      <c r="D82" s="111"/>
      <c r="E82" s="7">
        <v>186360</v>
      </c>
      <c r="F82" s="86"/>
      <c r="H82" s="86"/>
      <c r="J82" s="86"/>
      <c r="L82" s="86"/>
      <c r="N82" s="961"/>
    </row>
    <row r="83" spans="1:14">
      <c r="A83" s="136" t="s">
        <v>75</v>
      </c>
      <c r="B83" s="108"/>
      <c r="C83" s="108"/>
      <c r="D83" s="111"/>
      <c r="E83" s="7">
        <v>240000</v>
      </c>
      <c r="F83" s="86"/>
      <c r="H83" s="86"/>
      <c r="J83" s="86"/>
      <c r="L83" s="86"/>
      <c r="N83" s="961"/>
    </row>
    <row r="84" spans="1:14" ht="15.75">
      <c r="A84" s="136" t="s">
        <v>61</v>
      </c>
      <c r="B84" s="108"/>
      <c r="C84" s="108"/>
      <c r="D84" s="111"/>
      <c r="E84" s="137">
        <v>83000</v>
      </c>
      <c r="F84" s="86"/>
      <c r="H84" s="86"/>
      <c r="J84" s="86"/>
      <c r="L84" s="86"/>
      <c r="N84" s="961"/>
    </row>
    <row r="85" spans="1:14">
      <c r="A85" s="1320" t="s">
        <v>64</v>
      </c>
      <c r="B85" s="1321"/>
      <c r="C85" s="108"/>
      <c r="D85" s="111" t="s">
        <v>15</v>
      </c>
      <c r="E85" s="7">
        <f>SUM(E80:E84)</f>
        <v>1132000</v>
      </c>
      <c r="F85" s="86"/>
      <c r="H85" s="86"/>
      <c r="J85" s="86"/>
      <c r="L85" s="86"/>
      <c r="N85" s="961"/>
    </row>
    <row r="86" spans="1:14">
      <c r="A86" s="138"/>
      <c r="B86" s="90"/>
      <c r="C86" s="90"/>
      <c r="D86" s="139"/>
      <c r="E86" s="112"/>
      <c r="F86" s="86"/>
      <c r="H86" s="86"/>
      <c r="J86" s="86"/>
      <c r="L86" s="86"/>
      <c r="N86" s="961"/>
    </row>
    <row r="89" spans="1:14">
      <c r="A89" s="134" t="s">
        <v>238</v>
      </c>
      <c r="B89" s="92"/>
      <c r="C89" s="92"/>
      <c r="D89" s="116"/>
      <c r="E89" s="115"/>
      <c r="F89" s="86"/>
      <c r="H89" s="86"/>
      <c r="J89" s="86"/>
      <c r="L89" s="86"/>
      <c r="N89" s="961"/>
    </row>
    <row r="90" spans="1:14">
      <c r="A90" s="1324" t="s">
        <v>60</v>
      </c>
      <c r="B90" s="1311"/>
      <c r="C90" s="108"/>
      <c r="D90" s="111"/>
      <c r="E90" s="98"/>
      <c r="F90" s="86"/>
      <c r="H90" s="86"/>
      <c r="J90" s="86"/>
      <c r="L90" s="86"/>
      <c r="N90" s="961"/>
    </row>
    <row r="91" spans="1:14">
      <c r="A91" s="101" t="s">
        <v>233</v>
      </c>
      <c r="B91" s="108"/>
      <c r="C91" s="108"/>
      <c r="D91" s="111"/>
      <c r="E91" s="135" t="s">
        <v>300</v>
      </c>
      <c r="F91" s="86"/>
      <c r="H91" s="86"/>
      <c r="J91" s="86"/>
      <c r="L91" s="86"/>
      <c r="N91" s="961"/>
    </row>
    <row r="92" spans="1:14">
      <c r="A92" s="101"/>
      <c r="B92" s="108"/>
      <c r="C92" s="108"/>
      <c r="D92" s="111"/>
      <c r="E92" s="98"/>
      <c r="F92" s="86"/>
      <c r="H92" s="86"/>
      <c r="J92" s="86"/>
      <c r="L92" s="86"/>
      <c r="N92" s="961"/>
    </row>
    <row r="93" spans="1:14">
      <c r="A93" s="136" t="s">
        <v>72</v>
      </c>
      <c r="B93" s="108"/>
      <c r="C93" s="108"/>
      <c r="D93" s="111" t="s">
        <v>15</v>
      </c>
      <c r="E93" s="7">
        <v>172640</v>
      </c>
      <c r="F93" s="86"/>
      <c r="H93" s="86"/>
      <c r="J93" s="86"/>
      <c r="L93" s="86"/>
      <c r="N93" s="961"/>
    </row>
    <row r="94" spans="1:14">
      <c r="A94" s="136" t="s">
        <v>73</v>
      </c>
      <c r="B94" s="108"/>
      <c r="C94" s="108"/>
      <c r="D94" s="111"/>
      <c r="E94" s="7">
        <v>450000</v>
      </c>
      <c r="F94" s="86"/>
      <c r="H94" s="86"/>
      <c r="J94" s="86"/>
      <c r="L94" s="86"/>
      <c r="N94" s="961"/>
    </row>
    <row r="95" spans="1:14">
      <c r="A95" s="136" t="s">
        <v>74</v>
      </c>
      <c r="B95" s="108"/>
      <c r="C95" s="108"/>
      <c r="D95" s="111"/>
      <c r="E95" s="7">
        <v>186360</v>
      </c>
      <c r="F95" s="86"/>
      <c r="H95" s="86"/>
      <c r="J95" s="86"/>
      <c r="L95" s="86"/>
      <c r="N95" s="961"/>
    </row>
    <row r="96" spans="1:14">
      <c r="A96" s="136" t="s">
        <v>75</v>
      </c>
      <c r="B96" s="108"/>
      <c r="C96" s="108"/>
      <c r="D96" s="111"/>
      <c r="E96" s="7">
        <v>240000</v>
      </c>
      <c r="F96" s="86"/>
      <c r="H96" s="86"/>
      <c r="J96" s="86"/>
      <c r="L96" s="86"/>
      <c r="N96" s="961"/>
    </row>
    <row r="97" spans="1:14" ht="15.75">
      <c r="A97" s="136" t="s">
        <v>61</v>
      </c>
      <c r="B97" s="108"/>
      <c r="C97" s="108"/>
      <c r="D97" s="111"/>
      <c r="E97" s="137">
        <v>88000</v>
      </c>
      <c r="F97" s="86"/>
      <c r="H97" s="86"/>
      <c r="J97" s="86"/>
      <c r="L97" s="86"/>
      <c r="N97" s="961"/>
    </row>
    <row r="98" spans="1:14">
      <c r="A98" s="1320" t="s">
        <v>64</v>
      </c>
      <c r="B98" s="1321"/>
      <c r="C98" s="108"/>
      <c r="D98" s="111" t="s">
        <v>15</v>
      </c>
      <c r="E98" s="7">
        <f>SUM(E93:E97)</f>
        <v>1137000</v>
      </c>
      <c r="F98" s="86"/>
      <c r="H98" s="86"/>
      <c r="J98" s="86"/>
      <c r="L98" s="86"/>
      <c r="N98" s="961"/>
    </row>
    <row r="99" spans="1:14">
      <c r="A99" s="138"/>
      <c r="B99" s="90"/>
      <c r="C99" s="90"/>
      <c r="D99" s="139"/>
      <c r="E99" s="112"/>
      <c r="F99" s="86"/>
      <c r="H99" s="86"/>
      <c r="J99" s="86"/>
      <c r="L99" s="86"/>
      <c r="N99" s="961"/>
    </row>
  </sheetData>
  <sheetProtection algorithmName="SHA-512" hashValue="8QpLUS8850ZZ1e8azhFa6AoY6sc/cJ8gRmO4JzfoR6oPoMwVl3kDJ2bqMciQmprIsVGaCFaLPxuGJOSRgaDs+Q==" saltValue="OZRwPOTcfxS+Cjo4ssMNAw==" spinCount="100000" sheet="1" objects="1" scenarios="1"/>
  <mergeCells count="32">
    <mergeCell ref="A1:B1"/>
    <mergeCell ref="N11:O13"/>
    <mergeCell ref="A12:B12"/>
    <mergeCell ref="A38:B38"/>
    <mergeCell ref="A50:B50"/>
    <mergeCell ref="H13:I13"/>
    <mergeCell ref="C50:G50"/>
    <mergeCell ref="D13:E13"/>
    <mergeCell ref="A28:B28"/>
    <mergeCell ref="A3:M3"/>
    <mergeCell ref="A4:M4"/>
    <mergeCell ref="F7:M7"/>
    <mergeCell ref="F8:M8"/>
    <mergeCell ref="D11:E11"/>
    <mergeCell ref="F11:K11"/>
    <mergeCell ref="L11:M11"/>
    <mergeCell ref="A98:B98"/>
    <mergeCell ref="C51:G51"/>
    <mergeCell ref="H51:M51"/>
    <mergeCell ref="J12:K13"/>
    <mergeCell ref="L13:M13"/>
    <mergeCell ref="L12:M12"/>
    <mergeCell ref="H12:I12"/>
    <mergeCell ref="H50:M50"/>
    <mergeCell ref="F13:G13"/>
    <mergeCell ref="F12:G12"/>
    <mergeCell ref="A77:B77"/>
    <mergeCell ref="A36:B36"/>
    <mergeCell ref="D12:E12"/>
    <mergeCell ref="A90:B90"/>
    <mergeCell ref="A85:B85"/>
    <mergeCell ref="A51:B51"/>
  </mergeCells>
  <pageMargins left="0.2" right="0.2" top="1" bottom="1" header="0.5" footer="0.5"/>
  <pageSetup paperSize="5" orientation="portrait" verticalDpi="300" r:id="rId1"/>
  <headerFooter alignWithMargins="0">
    <oddHeader>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V161"/>
  <sheetViews>
    <sheetView topLeftCell="A52" zoomScale="145" zoomScaleNormal="145" workbookViewId="0">
      <selection activeCell="N22" sqref="N22"/>
    </sheetView>
  </sheetViews>
  <sheetFormatPr defaultColWidth="9.140625" defaultRowHeight="13.5"/>
  <cols>
    <col min="1" max="1" width="10" style="86" customWidth="1"/>
    <col min="2" max="2" width="21.85546875" style="86" customWidth="1"/>
    <col min="3" max="3" width="8.7109375" style="86" customWidth="1"/>
    <col min="4" max="4" width="2.140625" style="87" customWidth="1"/>
    <col min="5" max="5" width="11" style="86" customWidth="1"/>
    <col min="6" max="6" width="1.7109375" style="87" customWidth="1"/>
    <col min="7" max="7" width="10" style="86" customWidth="1"/>
    <col min="8" max="8" width="1.42578125" style="87" customWidth="1"/>
    <col min="9" max="9" width="10.85546875" style="86" customWidth="1"/>
    <col min="10" max="10" width="1.42578125" style="158" customWidth="1"/>
    <col min="11" max="11" width="11" style="86" customWidth="1"/>
    <col min="12" max="12" width="1.85546875" style="87" customWidth="1"/>
    <col min="13" max="13" width="11" style="86" customWidth="1"/>
    <col min="14" max="14" width="0.140625" style="966" hidden="1" customWidth="1"/>
    <col min="15" max="15" width="11.140625" style="961" hidden="1" customWidth="1"/>
    <col min="16" max="16" width="13.28515625" style="961" hidden="1" customWidth="1"/>
    <col min="17" max="17" width="9.140625" style="961"/>
    <col min="18" max="18" width="10" style="961" bestFit="1" customWidth="1"/>
    <col min="19" max="19" width="9.140625" style="961"/>
    <col min="20" max="16384" width="9.140625" style="86"/>
  </cols>
  <sheetData>
    <row r="1" spans="1:20">
      <c r="A1" s="86" t="s">
        <v>186</v>
      </c>
    </row>
    <row r="2" spans="1:20" ht="5.25" customHeight="1"/>
    <row r="3" spans="1:20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967"/>
      <c r="O3" s="967"/>
      <c r="P3" s="962"/>
      <c r="Q3" s="962"/>
      <c r="R3" s="962"/>
      <c r="S3" s="962"/>
      <c r="T3" s="88"/>
    </row>
    <row r="4" spans="1:20" ht="12.75" customHeight="1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967"/>
      <c r="O4" s="967"/>
      <c r="P4" s="962"/>
      <c r="Q4" s="962"/>
      <c r="R4" s="962"/>
      <c r="S4" s="962"/>
      <c r="T4" s="88"/>
    </row>
    <row r="5" spans="1:20" ht="10.5" customHeight="1"/>
    <row r="6" spans="1:20" ht="12" customHeight="1">
      <c r="A6" s="89" t="s">
        <v>85</v>
      </c>
      <c r="B6" s="90" t="s">
        <v>407</v>
      </c>
      <c r="C6" s="90"/>
    </row>
    <row r="7" spans="1:20" hidden="1">
      <c r="A7" s="86" t="s">
        <v>2</v>
      </c>
      <c r="B7" s="91" t="s">
        <v>402</v>
      </c>
      <c r="C7" s="91"/>
      <c r="F7" s="1338"/>
      <c r="G7" s="1338"/>
      <c r="H7" s="1338"/>
      <c r="I7" s="1338"/>
      <c r="J7" s="1338"/>
      <c r="K7" s="1338"/>
      <c r="L7" s="1338"/>
      <c r="M7" s="1338"/>
      <c r="N7" s="968"/>
      <c r="O7" s="968"/>
    </row>
    <row r="8" spans="1:20" hidden="1">
      <c r="A8" s="86" t="s">
        <v>3</v>
      </c>
      <c r="B8" s="91" t="s">
        <v>403</v>
      </c>
      <c r="C8" s="91"/>
      <c r="F8" s="1322"/>
      <c r="G8" s="1322"/>
      <c r="H8" s="1322"/>
      <c r="I8" s="1322"/>
      <c r="J8" s="1322"/>
      <c r="K8" s="1322"/>
      <c r="L8" s="1322"/>
      <c r="M8" s="1322"/>
      <c r="N8" s="962"/>
      <c r="O8" s="962"/>
    </row>
    <row r="9" spans="1:20" hidden="1">
      <c r="A9" s="86" t="s">
        <v>4</v>
      </c>
      <c r="B9" s="91" t="s">
        <v>404</v>
      </c>
      <c r="C9" s="91"/>
    </row>
    <row r="10" spans="1:20" ht="11.25" customHeight="1">
      <c r="B10" s="92"/>
      <c r="C10" s="92"/>
    </row>
    <row r="11" spans="1:20">
      <c r="A11" s="93"/>
      <c r="B11" s="94"/>
      <c r="C11" s="2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328" t="s">
        <v>494</v>
      </c>
      <c r="O11" s="1329"/>
    </row>
    <row r="12" spans="1:20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330"/>
      <c r="O12" s="1331"/>
    </row>
    <row r="13" spans="1:20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332"/>
      <c r="O13" s="1333"/>
    </row>
    <row r="14" spans="1:20" ht="14.25" customHeight="1">
      <c r="A14" s="181" t="s">
        <v>281</v>
      </c>
      <c r="B14" s="115"/>
      <c r="C14" s="99"/>
      <c r="D14" s="100"/>
      <c r="E14" s="141"/>
      <c r="F14" s="100"/>
      <c r="G14" s="141"/>
      <c r="H14" s="100"/>
      <c r="I14" s="141"/>
      <c r="J14" s="124"/>
      <c r="K14" s="141"/>
      <c r="L14" s="100"/>
      <c r="M14" s="141"/>
      <c r="N14" s="971"/>
      <c r="O14" s="972"/>
    </row>
    <row r="15" spans="1:20" ht="14.25" customHeight="1">
      <c r="A15" s="101" t="s">
        <v>262</v>
      </c>
      <c r="B15" s="98"/>
      <c r="C15" s="99"/>
      <c r="D15" s="100"/>
      <c r="E15" s="141"/>
      <c r="F15" s="100"/>
      <c r="G15" s="141"/>
      <c r="H15" s="100"/>
      <c r="I15" s="141"/>
      <c r="J15" s="124"/>
      <c r="K15" s="141"/>
      <c r="L15" s="100"/>
      <c r="M15" s="141"/>
      <c r="N15" s="971"/>
      <c r="O15" s="972"/>
    </row>
    <row r="16" spans="1:20">
      <c r="A16" s="101" t="s">
        <v>263</v>
      </c>
      <c r="B16" s="98"/>
      <c r="C16" s="102" t="s">
        <v>114</v>
      </c>
      <c r="D16" s="100" t="s">
        <v>15</v>
      </c>
      <c r="E16" s="141">
        <v>10244919.34</v>
      </c>
      <c r="F16" s="100" t="s">
        <v>15</v>
      </c>
      <c r="G16" s="141">
        <v>5274936</v>
      </c>
      <c r="H16" s="100" t="s">
        <v>15</v>
      </c>
      <c r="I16" s="141">
        <f>K16-G16</f>
        <v>5274936</v>
      </c>
      <c r="J16" s="124" t="s">
        <v>15</v>
      </c>
      <c r="K16" s="141">
        <v>10549872</v>
      </c>
      <c r="L16" s="100" t="s">
        <v>15</v>
      </c>
      <c r="M16" s="141">
        <v>10643652</v>
      </c>
      <c r="N16" s="973" t="s">
        <v>15</v>
      </c>
      <c r="O16" s="974">
        <v>0</v>
      </c>
      <c r="P16" s="963"/>
    </row>
    <row r="17" spans="1:17">
      <c r="A17" s="101" t="s">
        <v>265</v>
      </c>
      <c r="B17" s="98"/>
      <c r="C17" s="102"/>
      <c r="D17" s="100"/>
      <c r="E17" s="141"/>
      <c r="F17" s="100"/>
      <c r="G17" s="141"/>
      <c r="H17" s="100"/>
      <c r="I17" s="141">
        <f t="shared" ref="I17:I35" si="0">K17-G17</f>
        <v>0</v>
      </c>
      <c r="J17" s="124"/>
      <c r="K17" s="141"/>
      <c r="L17" s="100"/>
      <c r="M17" s="141"/>
      <c r="N17" s="975"/>
      <c r="O17" s="976"/>
      <c r="P17" s="963"/>
    </row>
    <row r="18" spans="1:17">
      <c r="A18" s="101" t="s">
        <v>266</v>
      </c>
      <c r="B18" s="98"/>
      <c r="C18" s="102" t="s">
        <v>116</v>
      </c>
      <c r="D18" s="100"/>
      <c r="E18" s="141">
        <v>259636.38</v>
      </c>
      <c r="F18" s="100"/>
      <c r="G18" s="141">
        <v>132000</v>
      </c>
      <c r="H18" s="100"/>
      <c r="I18" s="141">
        <f t="shared" si="0"/>
        <v>132000</v>
      </c>
      <c r="J18" s="124"/>
      <c r="K18" s="141">
        <v>264000</v>
      </c>
      <c r="L18" s="100"/>
      <c r="M18" s="141">
        <v>264000</v>
      </c>
      <c r="N18" s="975"/>
      <c r="O18" s="976">
        <v>0</v>
      </c>
      <c r="P18" s="963"/>
    </row>
    <row r="19" spans="1:17">
      <c r="A19" s="101" t="s">
        <v>267</v>
      </c>
      <c r="B19" s="98"/>
      <c r="C19" s="102" t="s">
        <v>117</v>
      </c>
      <c r="D19" s="100"/>
      <c r="E19" s="141">
        <v>877500</v>
      </c>
      <c r="F19" s="100"/>
      <c r="G19" s="141">
        <v>445500</v>
      </c>
      <c r="H19" s="100"/>
      <c r="I19" s="141">
        <f t="shared" si="0"/>
        <v>445500</v>
      </c>
      <c r="J19" s="124"/>
      <c r="K19" s="141">
        <v>891000</v>
      </c>
      <c r="L19" s="100"/>
      <c r="M19" s="141">
        <v>891000</v>
      </c>
      <c r="N19" s="975"/>
      <c r="O19" s="976">
        <v>0</v>
      </c>
      <c r="P19" s="963"/>
    </row>
    <row r="20" spans="1:17">
      <c r="A20" s="101" t="s">
        <v>268</v>
      </c>
      <c r="B20" s="106"/>
      <c r="C20" s="102" t="s">
        <v>118</v>
      </c>
      <c r="D20" s="100"/>
      <c r="E20" s="141">
        <v>877500</v>
      </c>
      <c r="F20" s="100"/>
      <c r="G20" s="141">
        <v>445500</v>
      </c>
      <c r="H20" s="100"/>
      <c r="I20" s="141">
        <f t="shared" si="0"/>
        <v>445500</v>
      </c>
      <c r="J20" s="124"/>
      <c r="K20" s="141">
        <v>891000</v>
      </c>
      <c r="L20" s="100"/>
      <c r="M20" s="141">
        <v>891000</v>
      </c>
      <c r="N20" s="975"/>
      <c r="O20" s="976">
        <v>0</v>
      </c>
      <c r="P20" s="963" t="s">
        <v>52</v>
      </c>
    </row>
    <row r="21" spans="1:17">
      <c r="A21" s="101" t="s">
        <v>269</v>
      </c>
      <c r="B21" s="106"/>
      <c r="C21" s="102" t="s">
        <v>119</v>
      </c>
      <c r="D21" s="100"/>
      <c r="E21" s="141">
        <v>60000</v>
      </c>
      <c r="F21" s="100"/>
      <c r="G21" s="141">
        <v>66000</v>
      </c>
      <c r="H21" s="100"/>
      <c r="I21" s="141">
        <f t="shared" si="0"/>
        <v>0</v>
      </c>
      <c r="J21" s="124"/>
      <c r="K21" s="141">
        <v>66000</v>
      </c>
      <c r="L21" s="100"/>
      <c r="M21" s="141">
        <v>66000</v>
      </c>
      <c r="N21" s="975"/>
      <c r="O21" s="976">
        <v>0</v>
      </c>
      <c r="P21" s="963"/>
    </row>
    <row r="22" spans="1:17">
      <c r="A22" s="101" t="s">
        <v>270</v>
      </c>
      <c r="B22" s="106"/>
      <c r="C22" s="102" t="s">
        <v>120</v>
      </c>
      <c r="D22" s="100"/>
      <c r="E22" s="141">
        <v>55000</v>
      </c>
      <c r="F22" s="100"/>
      <c r="G22" s="141">
        <v>0</v>
      </c>
      <c r="H22" s="100"/>
      <c r="I22" s="141">
        <f t="shared" si="0"/>
        <v>55000</v>
      </c>
      <c r="J22" s="124"/>
      <c r="K22" s="141">
        <v>55000</v>
      </c>
      <c r="L22" s="100"/>
      <c r="M22" s="141">
        <v>55000</v>
      </c>
      <c r="N22" s="975"/>
      <c r="O22" s="976">
        <v>0</v>
      </c>
      <c r="P22" s="963"/>
    </row>
    <row r="23" spans="1:17">
      <c r="A23" s="101" t="s">
        <v>271</v>
      </c>
      <c r="B23" s="98"/>
      <c r="C23" s="102" t="s">
        <v>121</v>
      </c>
      <c r="D23" s="100"/>
      <c r="E23" s="141">
        <v>860022</v>
      </c>
      <c r="F23" s="100"/>
      <c r="G23" s="141">
        <v>0</v>
      </c>
      <c r="H23" s="100"/>
      <c r="I23" s="141">
        <f t="shared" si="0"/>
        <v>879156</v>
      </c>
      <c r="J23" s="124"/>
      <c r="K23" s="141">
        <v>879156</v>
      </c>
      <c r="L23" s="100"/>
      <c r="M23" s="141">
        <v>886971</v>
      </c>
      <c r="N23" s="975"/>
      <c r="O23" s="976">
        <v>0</v>
      </c>
      <c r="P23" s="963"/>
    </row>
    <row r="24" spans="1:17">
      <c r="A24" s="101" t="s">
        <v>278</v>
      </c>
      <c r="B24" s="98"/>
      <c r="C24" s="102" t="s">
        <v>258</v>
      </c>
      <c r="D24" s="100"/>
      <c r="E24" s="141"/>
      <c r="F24" s="100"/>
      <c r="G24" s="141"/>
      <c r="H24" s="100"/>
      <c r="I24" s="141">
        <f t="shared" si="0"/>
        <v>0</v>
      </c>
      <c r="J24" s="124"/>
      <c r="K24" s="141"/>
      <c r="L24" s="100"/>
      <c r="M24" s="141"/>
      <c r="N24" s="975"/>
      <c r="O24" s="976"/>
      <c r="Q24" s="963"/>
    </row>
    <row r="25" spans="1:17">
      <c r="A25" s="101" t="s">
        <v>279</v>
      </c>
      <c r="B25" s="98"/>
      <c r="C25" s="102"/>
      <c r="D25" s="100"/>
      <c r="E25" s="141">
        <v>781954</v>
      </c>
      <c r="F25" s="100"/>
      <c r="G25" s="141">
        <v>879156</v>
      </c>
      <c r="H25" s="100"/>
      <c r="I25" s="141">
        <f t="shared" si="0"/>
        <v>0</v>
      </c>
      <c r="J25" s="124"/>
      <c r="K25" s="141">
        <v>879156</v>
      </c>
      <c r="L25" s="100"/>
      <c r="M25" s="141">
        <v>886971</v>
      </c>
      <c r="N25" s="975"/>
      <c r="O25" s="976">
        <v>0</v>
      </c>
      <c r="Q25" s="963"/>
    </row>
    <row r="26" spans="1:17">
      <c r="A26" s="101" t="s">
        <v>280</v>
      </c>
      <c r="B26" s="98"/>
      <c r="C26" s="102"/>
      <c r="D26" s="100"/>
      <c r="E26" s="141">
        <v>0</v>
      </c>
      <c r="F26" s="100"/>
      <c r="G26" s="141">
        <v>33000</v>
      </c>
      <c r="H26" s="100"/>
      <c r="I26" s="141">
        <f t="shared" si="0"/>
        <v>0</v>
      </c>
      <c r="J26" s="124"/>
      <c r="K26" s="141">
        <v>33000</v>
      </c>
      <c r="L26" s="100"/>
      <c r="M26" s="141">
        <v>0</v>
      </c>
      <c r="N26" s="975"/>
      <c r="O26" s="976">
        <v>0</v>
      </c>
      <c r="Q26" s="963"/>
    </row>
    <row r="27" spans="1:17">
      <c r="A27" s="101" t="s">
        <v>272</v>
      </c>
      <c r="B27" s="98"/>
      <c r="C27" s="102" t="s">
        <v>122</v>
      </c>
      <c r="D27" s="100"/>
      <c r="E27" s="141">
        <v>991901.57</v>
      </c>
      <c r="F27" s="100"/>
      <c r="G27" s="141">
        <v>518773.2</v>
      </c>
      <c r="H27" s="100"/>
      <c r="I27" s="141">
        <f t="shared" si="0"/>
        <v>747211.8</v>
      </c>
      <c r="J27" s="124"/>
      <c r="K27" s="141">
        <v>1265985</v>
      </c>
      <c r="L27" s="100"/>
      <c r="M27" s="141">
        <v>1277239</v>
      </c>
      <c r="N27" s="975"/>
      <c r="O27" s="976">
        <v>0</v>
      </c>
      <c r="P27" s="963"/>
    </row>
    <row r="28" spans="1:17">
      <c r="A28" s="101" t="s">
        <v>273</v>
      </c>
      <c r="B28" s="98"/>
      <c r="C28" s="102" t="s">
        <v>123</v>
      </c>
      <c r="D28" s="100"/>
      <c r="E28" s="141">
        <v>203152.5</v>
      </c>
      <c r="F28" s="100"/>
      <c r="G28" s="141">
        <v>20939.080000000002</v>
      </c>
      <c r="H28" s="100"/>
      <c r="I28" s="141">
        <f t="shared" si="0"/>
        <v>190140.91999999998</v>
      </c>
      <c r="J28" s="124"/>
      <c r="K28" s="141">
        <v>211080</v>
      </c>
      <c r="L28" s="100"/>
      <c r="M28" s="141">
        <v>13200</v>
      </c>
      <c r="N28" s="975"/>
      <c r="O28" s="976">
        <v>0</v>
      </c>
      <c r="P28" s="963"/>
    </row>
    <row r="29" spans="1:17">
      <c r="A29" s="101" t="s">
        <v>274</v>
      </c>
      <c r="B29" s="98"/>
      <c r="C29" s="102" t="s">
        <v>124</v>
      </c>
      <c r="D29" s="100"/>
      <c r="E29" s="141">
        <v>106200</v>
      </c>
      <c r="F29" s="100"/>
      <c r="G29" s="141">
        <v>62531.040000000001</v>
      </c>
      <c r="H29" s="100"/>
      <c r="I29" s="141">
        <f t="shared" si="0"/>
        <v>147900.96</v>
      </c>
      <c r="J29" s="124"/>
      <c r="K29" s="141">
        <v>210432</v>
      </c>
      <c r="L29" s="100"/>
      <c r="M29" s="141">
        <v>239556</v>
      </c>
      <c r="N29" s="975"/>
      <c r="O29" s="976">
        <v>0</v>
      </c>
      <c r="P29" s="963"/>
    </row>
    <row r="30" spans="1:17">
      <c r="A30" s="101" t="s">
        <v>275</v>
      </c>
      <c r="B30" s="98"/>
      <c r="C30" s="102" t="s">
        <v>125</v>
      </c>
      <c r="D30" s="100"/>
      <c r="E30" s="141">
        <v>10700</v>
      </c>
      <c r="F30" s="100"/>
      <c r="G30" s="141">
        <v>5600</v>
      </c>
      <c r="H30" s="100"/>
      <c r="I30" s="141">
        <f t="shared" si="0"/>
        <v>7600</v>
      </c>
      <c r="J30" s="124"/>
      <c r="K30" s="141">
        <v>13200</v>
      </c>
      <c r="L30" s="100"/>
      <c r="M30" s="141">
        <v>13200</v>
      </c>
      <c r="N30" s="975"/>
      <c r="O30" s="976">
        <v>0</v>
      </c>
      <c r="P30" s="963"/>
    </row>
    <row r="31" spans="1:17">
      <c r="A31" s="101" t="s">
        <v>276</v>
      </c>
      <c r="B31" s="98"/>
      <c r="C31" s="102" t="s">
        <v>161</v>
      </c>
      <c r="D31" s="100"/>
      <c r="E31" s="141"/>
      <c r="F31" s="100"/>
      <c r="G31" s="141"/>
      <c r="H31" s="100"/>
      <c r="I31" s="141">
        <f t="shared" si="0"/>
        <v>0</v>
      </c>
      <c r="J31" s="124"/>
      <c r="K31" s="141"/>
      <c r="L31" s="100"/>
      <c r="M31" s="141"/>
      <c r="N31" s="975"/>
      <c r="O31" s="976"/>
      <c r="P31" s="963"/>
    </row>
    <row r="32" spans="1:17">
      <c r="A32" s="101" t="s">
        <v>292</v>
      </c>
      <c r="B32" s="98"/>
      <c r="C32" s="102"/>
      <c r="D32" s="100"/>
      <c r="E32" s="7">
        <v>0</v>
      </c>
      <c r="F32" s="100"/>
      <c r="G32" s="7">
        <v>0</v>
      </c>
      <c r="H32" s="100"/>
      <c r="I32" s="141">
        <f t="shared" si="0"/>
        <v>0</v>
      </c>
      <c r="J32" s="100"/>
      <c r="K32" s="141">
        <v>0</v>
      </c>
      <c r="L32" s="100"/>
      <c r="M32" s="141">
        <v>283725</v>
      </c>
      <c r="N32" s="975"/>
      <c r="O32" s="976">
        <v>0</v>
      </c>
    </row>
    <row r="33" spans="1:19">
      <c r="A33" s="101" t="s">
        <v>260</v>
      </c>
      <c r="B33" s="98"/>
      <c r="C33" s="102"/>
      <c r="D33" s="100"/>
      <c r="E33" s="141">
        <v>55000</v>
      </c>
      <c r="F33" s="100"/>
      <c r="G33" s="141">
        <v>0</v>
      </c>
      <c r="H33" s="100"/>
      <c r="I33" s="141">
        <f t="shared" si="0"/>
        <v>55000</v>
      </c>
      <c r="J33" s="124"/>
      <c r="K33" s="141">
        <v>55000</v>
      </c>
      <c r="L33" s="100"/>
      <c r="M33" s="141">
        <v>55000</v>
      </c>
      <c r="N33" s="975"/>
      <c r="O33" s="976">
        <v>0</v>
      </c>
      <c r="Q33" s="963"/>
    </row>
    <row r="34" spans="1:19">
      <c r="A34" s="101" t="s">
        <v>764</v>
      </c>
      <c r="B34" s="98"/>
      <c r="C34" s="102"/>
      <c r="D34" s="100"/>
      <c r="E34" s="141">
        <v>0</v>
      </c>
      <c r="F34" s="100"/>
      <c r="G34" s="141">
        <v>0</v>
      </c>
      <c r="H34" s="100"/>
      <c r="I34" s="141">
        <f t="shared" si="0"/>
        <v>466058</v>
      </c>
      <c r="J34" s="124"/>
      <c r="K34" s="141">
        <v>466058</v>
      </c>
      <c r="L34" s="100"/>
      <c r="M34" s="141">
        <v>0</v>
      </c>
      <c r="N34" s="975"/>
      <c r="O34" s="976">
        <v>0</v>
      </c>
      <c r="Q34" s="963"/>
    </row>
    <row r="35" spans="1:19">
      <c r="A35" s="101" t="s">
        <v>259</v>
      </c>
      <c r="B35" s="98"/>
      <c r="C35" s="102"/>
      <c r="D35" s="100"/>
      <c r="E35" s="142">
        <v>0</v>
      </c>
      <c r="F35" s="100"/>
      <c r="G35" s="142"/>
      <c r="H35" s="100"/>
      <c r="I35" s="141">
        <f t="shared" si="0"/>
        <v>0</v>
      </c>
      <c r="J35" s="124"/>
      <c r="K35" s="142">
        <v>0</v>
      </c>
      <c r="L35" s="104"/>
      <c r="M35" s="142"/>
      <c r="N35" s="975"/>
      <c r="O35" s="976">
        <v>0</v>
      </c>
      <c r="Q35" s="963"/>
    </row>
    <row r="36" spans="1:19" ht="15.75" customHeight="1">
      <c r="A36" s="1325" t="s">
        <v>14</v>
      </c>
      <c r="B36" s="1326"/>
      <c r="C36" s="102"/>
      <c r="D36" s="109" t="s">
        <v>15</v>
      </c>
      <c r="E36" s="154">
        <f>SUM(E16:E35)</f>
        <v>15383485.790000001</v>
      </c>
      <c r="F36" s="109" t="s">
        <v>15</v>
      </c>
      <c r="G36" s="154">
        <f>SUM(G16:G35)</f>
        <v>7883935.3200000003</v>
      </c>
      <c r="H36" s="109" t="s">
        <v>15</v>
      </c>
      <c r="I36" s="154">
        <f>SUM(I16:I35)</f>
        <v>8846003.6799999997</v>
      </c>
      <c r="J36" s="159" t="s">
        <v>15</v>
      </c>
      <c r="K36" s="154">
        <f>SUM(K16:K35)</f>
        <v>16729939</v>
      </c>
      <c r="L36" s="125" t="s">
        <v>15</v>
      </c>
      <c r="M36" s="156">
        <f>SUM(M16:M35)</f>
        <v>16466514</v>
      </c>
      <c r="N36" s="981" t="s">
        <v>15</v>
      </c>
      <c r="O36" s="982">
        <f>SUM(O16:O35)</f>
        <v>0</v>
      </c>
      <c r="P36" s="963"/>
    </row>
    <row r="37" spans="1:19" ht="4.5" customHeight="1">
      <c r="A37" s="101"/>
      <c r="B37" s="98"/>
      <c r="C37" s="102"/>
      <c r="D37" s="100"/>
      <c r="E37" s="141"/>
      <c r="F37" s="100"/>
      <c r="G37" s="141"/>
      <c r="H37" s="100"/>
      <c r="I37" s="141"/>
      <c r="J37" s="124"/>
      <c r="K37" s="141"/>
      <c r="L37" s="100"/>
      <c r="M37" s="141"/>
      <c r="N37" s="971"/>
      <c r="O37" s="972"/>
    </row>
    <row r="38" spans="1:19" ht="15" customHeight="1">
      <c r="A38" s="97" t="s">
        <v>282</v>
      </c>
      <c r="B38" s="98"/>
      <c r="C38" s="102"/>
      <c r="D38" s="111"/>
      <c r="E38" s="141"/>
      <c r="F38" s="111"/>
      <c r="G38" s="141"/>
      <c r="H38" s="111"/>
      <c r="I38" s="141"/>
      <c r="J38" s="160"/>
      <c r="K38" s="141"/>
      <c r="L38" s="111"/>
      <c r="M38" s="141"/>
      <c r="N38" s="983"/>
      <c r="O38" s="972"/>
      <c r="P38" s="962" t="s">
        <v>494</v>
      </c>
    </row>
    <row r="39" spans="1:19">
      <c r="A39" s="101" t="s">
        <v>41</v>
      </c>
      <c r="B39" s="98"/>
      <c r="C39" s="102" t="s">
        <v>126</v>
      </c>
      <c r="D39" s="100" t="s">
        <v>15</v>
      </c>
      <c r="E39" s="141">
        <v>164838</v>
      </c>
      <c r="F39" s="100" t="s">
        <v>15</v>
      </c>
      <c r="G39" s="141">
        <v>383040</v>
      </c>
      <c r="H39" s="100" t="s">
        <v>15</v>
      </c>
      <c r="I39" s="141">
        <f>K39-G39</f>
        <v>711360</v>
      </c>
      <c r="J39" s="124" t="s">
        <v>15</v>
      </c>
      <c r="K39" s="141">
        <v>1094400</v>
      </c>
      <c r="L39" s="100" t="s">
        <v>15</v>
      </c>
      <c r="M39" s="141">
        <v>1094400</v>
      </c>
      <c r="N39" s="973" t="s">
        <v>15</v>
      </c>
      <c r="O39" s="974">
        <f>M39-K39</f>
        <v>0</v>
      </c>
      <c r="P39" s="963">
        <f>M39-K39</f>
        <v>0</v>
      </c>
      <c r="Q39" s="963">
        <f>K39*0.1</f>
        <v>109440</v>
      </c>
      <c r="R39" s="963">
        <f>K39+Q39</f>
        <v>1203840</v>
      </c>
    </row>
    <row r="40" spans="1:19">
      <c r="A40" s="101" t="s">
        <v>42</v>
      </c>
      <c r="B40" s="98"/>
      <c r="C40" s="102" t="s">
        <v>127</v>
      </c>
      <c r="D40" s="100"/>
      <c r="E40" s="141">
        <v>110000</v>
      </c>
      <c r="F40" s="100"/>
      <c r="G40" s="141">
        <v>441468</v>
      </c>
      <c r="H40" s="100"/>
      <c r="I40" s="141">
        <f>K40-G40</f>
        <v>295532</v>
      </c>
      <c r="J40" s="124"/>
      <c r="K40" s="141">
        <v>737000</v>
      </c>
      <c r="L40" s="100"/>
      <c r="M40" s="141">
        <v>737000</v>
      </c>
      <c r="N40" s="975"/>
      <c r="O40" s="974">
        <f t="shared" ref="O40:O49" si="1">M40-K40</f>
        <v>0</v>
      </c>
      <c r="P40" s="963">
        <f t="shared" ref="P40:P52" si="2">M40-K40</f>
        <v>0</v>
      </c>
      <c r="Q40" s="963">
        <f t="shared" ref="Q40:Q52" si="3">K40*0.1</f>
        <v>73700</v>
      </c>
      <c r="R40" s="963">
        <f t="shared" ref="R40:R52" si="4">K40+Q40</f>
        <v>810700</v>
      </c>
    </row>
    <row r="41" spans="1:19">
      <c r="A41" s="101" t="s">
        <v>28</v>
      </c>
      <c r="B41" s="98"/>
      <c r="C41" s="102" t="s">
        <v>128</v>
      </c>
      <c r="D41" s="111"/>
      <c r="E41" s="141">
        <v>76290</v>
      </c>
      <c r="F41" s="111"/>
      <c r="G41" s="141">
        <v>9951</v>
      </c>
      <c r="H41" s="111"/>
      <c r="I41" s="141">
        <f>K41-G41</f>
        <v>90049</v>
      </c>
      <c r="J41" s="160"/>
      <c r="K41" s="141">
        <v>100000</v>
      </c>
      <c r="L41" s="100"/>
      <c r="M41" s="141">
        <v>100000</v>
      </c>
      <c r="N41" s="975"/>
      <c r="O41" s="974">
        <f t="shared" si="1"/>
        <v>0</v>
      </c>
      <c r="P41" s="963">
        <f t="shared" si="2"/>
        <v>0</v>
      </c>
      <c r="Q41" s="963">
        <f t="shared" si="3"/>
        <v>10000</v>
      </c>
      <c r="R41" s="963">
        <f t="shared" si="4"/>
        <v>110000</v>
      </c>
    </row>
    <row r="42" spans="1:19">
      <c r="A42" s="101" t="s">
        <v>130</v>
      </c>
      <c r="B42" s="98"/>
      <c r="C42" s="102" t="s">
        <v>129</v>
      </c>
      <c r="D42" s="100"/>
      <c r="E42" s="141">
        <v>137022.85999999999</v>
      </c>
      <c r="F42" s="100"/>
      <c r="G42" s="141">
        <v>86736.5</v>
      </c>
      <c r="H42" s="100"/>
      <c r="I42" s="141">
        <f t="shared" ref="I42:I56" si="5">K42-G42</f>
        <v>243263.5</v>
      </c>
      <c r="J42" s="124"/>
      <c r="K42" s="141">
        <v>330000</v>
      </c>
      <c r="L42" s="100"/>
      <c r="M42" s="141">
        <v>330000</v>
      </c>
      <c r="N42" s="975"/>
      <c r="O42" s="974">
        <f t="shared" si="1"/>
        <v>0</v>
      </c>
      <c r="P42" s="963">
        <f t="shared" si="2"/>
        <v>0</v>
      </c>
      <c r="Q42" s="963">
        <f t="shared" si="3"/>
        <v>33000</v>
      </c>
      <c r="R42" s="963">
        <f t="shared" si="4"/>
        <v>363000</v>
      </c>
    </row>
    <row r="43" spans="1:19">
      <c r="A43" s="101" t="s">
        <v>497</v>
      </c>
      <c r="B43" s="98"/>
      <c r="C43" s="102" t="s">
        <v>174</v>
      </c>
      <c r="D43" s="100"/>
      <c r="E43" s="141">
        <v>598320.9</v>
      </c>
      <c r="F43" s="100"/>
      <c r="G43" s="141">
        <v>44731</v>
      </c>
      <c r="H43" s="100"/>
      <c r="I43" s="141">
        <f t="shared" si="5"/>
        <v>916769</v>
      </c>
      <c r="J43" s="124"/>
      <c r="K43" s="141">
        <v>961500</v>
      </c>
      <c r="L43" s="100"/>
      <c r="M43" s="141">
        <v>184042</v>
      </c>
      <c r="N43" s="975"/>
      <c r="O43" s="974">
        <f t="shared" si="1"/>
        <v>-777458</v>
      </c>
      <c r="P43" s="963">
        <f t="shared" si="2"/>
        <v>-777458</v>
      </c>
      <c r="Q43" s="963"/>
      <c r="R43" s="963"/>
    </row>
    <row r="44" spans="1:19">
      <c r="A44" s="101" t="s">
        <v>163</v>
      </c>
      <c r="B44" s="98"/>
      <c r="C44" s="102" t="s">
        <v>133</v>
      </c>
      <c r="D44" s="100"/>
      <c r="E44" s="141">
        <v>306171.64</v>
      </c>
      <c r="F44" s="100"/>
      <c r="G44" s="141">
        <v>125000</v>
      </c>
      <c r="H44" s="100"/>
      <c r="I44" s="141">
        <f t="shared" si="5"/>
        <v>295000</v>
      </c>
      <c r="J44" s="124"/>
      <c r="K44" s="141">
        <v>420000</v>
      </c>
      <c r="L44" s="100"/>
      <c r="M44" s="141">
        <v>420000</v>
      </c>
      <c r="N44" s="975"/>
      <c r="O44" s="974">
        <f t="shared" si="1"/>
        <v>0</v>
      </c>
      <c r="P44" s="963">
        <f t="shared" si="2"/>
        <v>0</v>
      </c>
      <c r="Q44" s="963">
        <f t="shared" si="3"/>
        <v>42000</v>
      </c>
      <c r="R44" s="963">
        <f t="shared" si="4"/>
        <v>462000</v>
      </c>
    </row>
    <row r="45" spans="1:19">
      <c r="A45" s="101" t="s">
        <v>135</v>
      </c>
      <c r="B45" s="98"/>
      <c r="C45" s="102" t="s">
        <v>134</v>
      </c>
      <c r="D45" s="100"/>
      <c r="E45" s="141">
        <v>36000</v>
      </c>
      <c r="F45" s="100"/>
      <c r="G45" s="141">
        <v>22946.37</v>
      </c>
      <c r="H45" s="100"/>
      <c r="I45" s="141">
        <f t="shared" si="5"/>
        <v>97053.63</v>
      </c>
      <c r="J45" s="124"/>
      <c r="K45" s="141">
        <v>120000</v>
      </c>
      <c r="L45" s="100"/>
      <c r="M45" s="141">
        <v>120000</v>
      </c>
      <c r="N45" s="975"/>
      <c r="O45" s="974">
        <f t="shared" si="1"/>
        <v>0</v>
      </c>
      <c r="P45" s="963">
        <f t="shared" si="2"/>
        <v>0</v>
      </c>
      <c r="Q45" s="963">
        <f t="shared" si="3"/>
        <v>12000</v>
      </c>
      <c r="R45" s="963">
        <f t="shared" si="4"/>
        <v>132000</v>
      </c>
      <c r="S45" s="990">
        <v>120000</v>
      </c>
    </row>
    <row r="46" spans="1:19">
      <c r="A46" s="101" t="s">
        <v>142</v>
      </c>
      <c r="B46" s="98"/>
      <c r="C46" s="118" t="s">
        <v>141</v>
      </c>
      <c r="D46" s="100"/>
      <c r="E46" s="141">
        <v>0</v>
      </c>
      <c r="F46" s="100"/>
      <c r="G46" s="141">
        <v>0</v>
      </c>
      <c r="H46" s="100"/>
      <c r="I46" s="141">
        <f t="shared" si="5"/>
        <v>50000</v>
      </c>
      <c r="J46" s="124"/>
      <c r="K46" s="141">
        <v>50000</v>
      </c>
      <c r="L46" s="100"/>
      <c r="M46" s="141">
        <v>50000</v>
      </c>
      <c r="N46" s="975"/>
      <c r="O46" s="974">
        <f t="shared" si="1"/>
        <v>0</v>
      </c>
      <c r="P46" s="963">
        <f t="shared" si="2"/>
        <v>0</v>
      </c>
      <c r="Q46" s="963">
        <f t="shared" si="3"/>
        <v>5000</v>
      </c>
      <c r="R46" s="963">
        <f t="shared" si="4"/>
        <v>55000</v>
      </c>
    </row>
    <row r="47" spans="1:19">
      <c r="A47" s="101" t="s">
        <v>145</v>
      </c>
      <c r="B47" s="98"/>
      <c r="C47" s="102" t="s">
        <v>144</v>
      </c>
      <c r="D47" s="100"/>
      <c r="E47" s="141">
        <v>22200</v>
      </c>
      <c r="F47" s="100"/>
      <c r="G47" s="141">
        <v>8980</v>
      </c>
      <c r="H47" s="100"/>
      <c r="I47" s="141">
        <f t="shared" si="5"/>
        <v>141020</v>
      </c>
      <c r="J47" s="124"/>
      <c r="K47" s="141">
        <v>150000</v>
      </c>
      <c r="L47" s="100"/>
      <c r="M47" s="141">
        <v>150000</v>
      </c>
      <c r="N47" s="975"/>
      <c r="O47" s="974">
        <f t="shared" si="1"/>
        <v>0</v>
      </c>
      <c r="P47" s="963">
        <f t="shared" si="2"/>
        <v>0</v>
      </c>
      <c r="Q47" s="963">
        <f t="shared" si="3"/>
        <v>15000</v>
      </c>
      <c r="R47" s="963">
        <f t="shared" si="4"/>
        <v>165000</v>
      </c>
    </row>
    <row r="48" spans="1:19" s="415" customFormat="1">
      <c r="A48" s="386" t="s">
        <v>353</v>
      </c>
      <c r="B48" s="876"/>
      <c r="C48" s="118" t="s">
        <v>354</v>
      </c>
      <c r="D48" s="393"/>
      <c r="E48" s="141">
        <v>264000</v>
      </c>
      <c r="F48" s="393"/>
      <c r="G48" s="141">
        <v>0</v>
      </c>
      <c r="H48" s="393"/>
      <c r="I48" s="414">
        <f t="shared" ref="I48" si="6">K48-G48</f>
        <v>300000</v>
      </c>
      <c r="J48" s="393"/>
      <c r="K48" s="141">
        <v>300000</v>
      </c>
      <c r="L48" s="393"/>
      <c r="M48" s="141">
        <v>300000</v>
      </c>
      <c r="N48" s="994"/>
      <c r="O48" s="974">
        <f t="shared" ref="O48" si="7">M48-K48</f>
        <v>0</v>
      </c>
      <c r="P48" s="995">
        <f t="shared" ref="P48" si="8">M48-K48</f>
        <v>0</v>
      </c>
      <c r="Q48" s="995">
        <f t="shared" ref="Q48" si="9">K48*0.1</f>
        <v>30000</v>
      </c>
      <c r="R48" s="995">
        <f t="shared" ref="R48" si="10">K48+Q48</f>
        <v>330000</v>
      </c>
      <c r="S48" s="1008"/>
    </row>
    <row r="49" spans="1:19" s="415" customFormat="1">
      <c r="A49" s="386" t="s">
        <v>138</v>
      </c>
      <c r="B49" s="412"/>
      <c r="C49" s="118" t="s">
        <v>137</v>
      </c>
      <c r="D49" s="393"/>
      <c r="E49" s="141">
        <v>143488</v>
      </c>
      <c r="F49" s="393"/>
      <c r="G49" s="141">
        <v>0</v>
      </c>
      <c r="H49" s="393"/>
      <c r="I49" s="414">
        <f t="shared" si="5"/>
        <v>0</v>
      </c>
      <c r="J49" s="393"/>
      <c r="K49" s="141">
        <v>0</v>
      </c>
      <c r="L49" s="393"/>
      <c r="M49" s="141">
        <v>0</v>
      </c>
      <c r="N49" s="994"/>
      <c r="O49" s="974">
        <f t="shared" si="1"/>
        <v>0</v>
      </c>
      <c r="P49" s="995">
        <f t="shared" si="2"/>
        <v>0</v>
      </c>
      <c r="Q49" s="995">
        <f t="shared" si="3"/>
        <v>0</v>
      </c>
      <c r="R49" s="995">
        <f t="shared" si="4"/>
        <v>0</v>
      </c>
      <c r="S49" s="1008"/>
    </row>
    <row r="50" spans="1:19">
      <c r="A50" s="101" t="s">
        <v>33</v>
      </c>
      <c r="B50" s="341"/>
      <c r="C50" s="102" t="s">
        <v>148</v>
      </c>
      <c r="D50" s="100"/>
      <c r="E50" s="141"/>
      <c r="F50" s="100"/>
      <c r="G50" s="141"/>
      <c r="H50" s="100"/>
      <c r="I50" s="141">
        <f t="shared" si="5"/>
        <v>0</v>
      </c>
      <c r="J50" s="124"/>
      <c r="K50" s="141"/>
      <c r="L50" s="100"/>
      <c r="M50" s="141"/>
      <c r="N50" s="975"/>
      <c r="O50" s="976"/>
      <c r="P50" s="963">
        <f t="shared" si="2"/>
        <v>0</v>
      </c>
      <c r="Q50" s="963">
        <f t="shared" si="3"/>
        <v>0</v>
      </c>
      <c r="R50" s="963">
        <f t="shared" si="4"/>
        <v>0</v>
      </c>
    </row>
    <row r="51" spans="1:19">
      <c r="A51" s="101"/>
      <c r="B51" s="7" t="s">
        <v>1117</v>
      </c>
      <c r="C51" s="102"/>
      <c r="D51" s="100"/>
      <c r="E51" s="141">
        <v>0</v>
      </c>
      <c r="F51" s="100"/>
      <c r="G51" s="141"/>
      <c r="H51" s="100"/>
      <c r="I51" s="141">
        <f t="shared" si="5"/>
        <v>0</v>
      </c>
      <c r="J51" s="124"/>
      <c r="K51" s="7">
        <v>0</v>
      </c>
      <c r="L51" s="100"/>
      <c r="M51" s="7">
        <v>0</v>
      </c>
      <c r="N51" s="975"/>
      <c r="O51" s="996">
        <v>0</v>
      </c>
      <c r="P51" s="963">
        <f t="shared" si="2"/>
        <v>0</v>
      </c>
      <c r="Q51" s="963">
        <f t="shared" si="3"/>
        <v>0</v>
      </c>
      <c r="R51" s="963">
        <f t="shared" si="4"/>
        <v>0</v>
      </c>
    </row>
    <row r="52" spans="1:19">
      <c r="A52" s="101"/>
      <c r="B52" s="7" t="s">
        <v>342</v>
      </c>
      <c r="C52" s="102"/>
      <c r="D52" s="100"/>
      <c r="E52" s="141">
        <v>325026.26</v>
      </c>
      <c r="F52" s="100"/>
      <c r="G52" s="141">
        <v>165000</v>
      </c>
      <c r="H52" s="100"/>
      <c r="I52" s="141">
        <f t="shared" si="5"/>
        <v>165000</v>
      </c>
      <c r="J52" s="124"/>
      <c r="K52" s="141">
        <v>330000</v>
      </c>
      <c r="L52" s="100"/>
      <c r="M52" s="141">
        <v>330000</v>
      </c>
      <c r="N52" s="975"/>
      <c r="O52" s="974">
        <f t="shared" ref="O52" si="11">M52-K52</f>
        <v>0</v>
      </c>
      <c r="P52" s="963">
        <f t="shared" si="2"/>
        <v>0</v>
      </c>
      <c r="Q52" s="963">
        <f t="shared" si="3"/>
        <v>33000</v>
      </c>
      <c r="R52" s="963">
        <f t="shared" si="4"/>
        <v>363000</v>
      </c>
    </row>
    <row r="53" spans="1:19">
      <c r="A53" s="101"/>
      <c r="B53" s="7" t="s">
        <v>746</v>
      </c>
      <c r="C53" s="102"/>
      <c r="D53" s="100"/>
      <c r="E53" s="143">
        <v>0</v>
      </c>
      <c r="F53" s="100"/>
      <c r="G53" s="141">
        <v>0</v>
      </c>
      <c r="H53" s="100"/>
      <c r="I53" s="141">
        <f t="shared" si="5"/>
        <v>110000</v>
      </c>
      <c r="J53" s="124"/>
      <c r="K53" s="141">
        <v>110000</v>
      </c>
      <c r="L53" s="100"/>
      <c r="M53" s="141">
        <v>0</v>
      </c>
      <c r="N53" s="975"/>
      <c r="O53" s="974">
        <f t="shared" ref="O53:O56" si="12">M53-K53</f>
        <v>-110000</v>
      </c>
      <c r="P53" s="963"/>
      <c r="Q53" s="963"/>
      <c r="R53" s="963"/>
    </row>
    <row r="54" spans="1:19">
      <c r="A54" s="101"/>
      <c r="B54" s="7" t="s">
        <v>744</v>
      </c>
      <c r="C54" s="102"/>
      <c r="D54" s="100"/>
      <c r="E54" s="143">
        <v>311650.25</v>
      </c>
      <c r="F54" s="100"/>
      <c r="G54" s="141">
        <v>159424</v>
      </c>
      <c r="H54" s="100"/>
      <c r="I54" s="141">
        <f t="shared" si="5"/>
        <v>510576</v>
      </c>
      <c r="J54" s="124"/>
      <c r="K54" s="141">
        <v>670000</v>
      </c>
      <c r="L54" s="100"/>
      <c r="M54" s="141">
        <v>780000</v>
      </c>
      <c r="N54" s="975"/>
      <c r="O54" s="974">
        <f t="shared" si="12"/>
        <v>110000</v>
      </c>
      <c r="P54" s="963"/>
      <c r="Q54" s="963"/>
      <c r="R54" s="963"/>
    </row>
    <row r="55" spans="1:19" ht="12.6" customHeight="1">
      <c r="A55" s="101"/>
      <c r="B55" s="7" t="s">
        <v>1320</v>
      </c>
      <c r="C55" s="102"/>
      <c r="D55" s="100"/>
      <c r="E55" s="143">
        <v>139984.1</v>
      </c>
      <c r="F55" s="100"/>
      <c r="G55" s="141">
        <v>0</v>
      </c>
      <c r="H55" s="100"/>
      <c r="I55" s="141">
        <f t="shared" ref="I55" si="13">K55-G55</f>
        <v>0</v>
      </c>
      <c r="J55" s="124"/>
      <c r="K55" s="141">
        <v>0</v>
      </c>
      <c r="L55" s="100"/>
      <c r="M55" s="141">
        <v>0</v>
      </c>
      <c r="N55" s="975"/>
      <c r="O55" s="974">
        <f t="shared" ref="O55" si="14">M55-K55</f>
        <v>0</v>
      </c>
      <c r="P55" s="963"/>
      <c r="Q55" s="963"/>
      <c r="R55" s="963"/>
    </row>
    <row r="56" spans="1:19">
      <c r="A56" s="101"/>
      <c r="B56" s="7" t="s">
        <v>1319</v>
      </c>
      <c r="C56" s="102"/>
      <c r="D56" s="100"/>
      <c r="E56" s="161">
        <v>30000</v>
      </c>
      <c r="F56" s="104"/>
      <c r="G56" s="142">
        <v>0</v>
      </c>
      <c r="H56" s="104"/>
      <c r="I56" s="142">
        <f t="shared" si="5"/>
        <v>0</v>
      </c>
      <c r="J56" s="162"/>
      <c r="K56" s="142">
        <v>0</v>
      </c>
      <c r="L56" s="104"/>
      <c r="M56" s="142">
        <v>0</v>
      </c>
      <c r="N56" s="975"/>
      <c r="O56" s="974">
        <f t="shared" si="12"/>
        <v>0</v>
      </c>
      <c r="P56" s="963"/>
      <c r="Q56" s="963"/>
      <c r="R56" s="963"/>
    </row>
    <row r="57" spans="1:19">
      <c r="A57" s="1325" t="s">
        <v>13</v>
      </c>
      <c r="B57" s="1326"/>
      <c r="C57" s="102"/>
      <c r="D57" s="144" t="s">
        <v>15</v>
      </c>
      <c r="E57" s="344">
        <f>SUM(E39:E56)</f>
        <v>2664992.0100000002</v>
      </c>
      <c r="F57" s="144" t="s">
        <v>15</v>
      </c>
      <c r="G57" s="344">
        <f>SUM(G39:G56)</f>
        <v>1447276.87</v>
      </c>
      <c r="H57" s="144" t="s">
        <v>15</v>
      </c>
      <c r="I57" s="344">
        <f>SUM(I39:I56)</f>
        <v>3925623.13</v>
      </c>
      <c r="J57" s="173" t="s">
        <v>15</v>
      </c>
      <c r="K57" s="344">
        <f>SUM(K39:K56)</f>
        <v>5372900</v>
      </c>
      <c r="L57" s="144" t="s">
        <v>15</v>
      </c>
      <c r="M57" s="344">
        <f>SUM(M39:M56)</f>
        <v>4595442</v>
      </c>
      <c r="N57" s="997" t="s">
        <v>15</v>
      </c>
      <c r="O57" s="998">
        <f>SUM(O39:O56)</f>
        <v>-777458</v>
      </c>
      <c r="P57" s="978">
        <f>M57-K57</f>
        <v>-777458</v>
      </c>
      <c r="R57" s="990">
        <v>5372900</v>
      </c>
    </row>
    <row r="58" spans="1:19">
      <c r="A58" s="283"/>
      <c r="B58" s="283"/>
      <c r="C58" s="145"/>
      <c r="D58" s="146"/>
      <c r="E58" s="405"/>
      <c r="F58" s="146"/>
      <c r="G58" s="405"/>
      <c r="H58" s="146"/>
      <c r="I58" s="405"/>
      <c r="J58" s="406"/>
      <c r="K58" s="405"/>
      <c r="L58" s="146"/>
      <c r="M58" s="405"/>
      <c r="N58" s="999"/>
      <c r="O58" s="1000"/>
      <c r="P58" s="1001"/>
      <c r="R58" s="990"/>
    </row>
    <row r="59" spans="1:19">
      <c r="A59" s="868"/>
      <c r="B59" s="868"/>
      <c r="C59" s="869"/>
      <c r="D59" s="149"/>
      <c r="E59" s="150"/>
      <c r="F59" s="149"/>
      <c r="G59" s="150"/>
      <c r="H59" s="149"/>
      <c r="I59" s="150"/>
      <c r="J59" s="404"/>
      <c r="K59" s="150"/>
      <c r="L59" s="149"/>
      <c r="M59" s="150"/>
      <c r="N59" s="1002"/>
      <c r="O59" s="1001"/>
      <c r="P59" s="1001"/>
      <c r="R59" s="990"/>
    </row>
    <row r="60" spans="1:19">
      <c r="A60" s="868"/>
      <c r="B60" s="868"/>
      <c r="C60" s="869"/>
      <c r="D60" s="149"/>
      <c r="E60" s="150"/>
      <c r="F60" s="149"/>
      <c r="G60" s="150"/>
      <c r="H60" s="149"/>
      <c r="I60" s="150"/>
      <c r="J60" s="404"/>
      <c r="K60" s="150"/>
      <c r="L60" s="149"/>
      <c r="M60" s="150"/>
      <c r="N60" s="1002"/>
      <c r="O60" s="1001"/>
      <c r="P60" s="1001"/>
      <c r="R60" s="990"/>
    </row>
    <row r="61" spans="1:19">
      <c r="A61" s="868"/>
      <c r="B61" s="868"/>
      <c r="C61" s="869"/>
      <c r="D61" s="149"/>
      <c r="E61" s="150"/>
      <c r="F61" s="149"/>
      <c r="G61" s="150"/>
      <c r="H61" s="149"/>
      <c r="I61" s="150"/>
      <c r="J61" s="404"/>
      <c r="K61" s="150"/>
      <c r="L61" s="149"/>
      <c r="M61" s="150"/>
      <c r="N61" s="1002"/>
      <c r="O61" s="1001"/>
      <c r="P61" s="1001"/>
      <c r="R61" s="990"/>
    </row>
    <row r="62" spans="1:19">
      <c r="A62" s="868"/>
      <c r="B62" s="868"/>
      <c r="C62" s="869"/>
      <c r="D62" s="149"/>
      <c r="E62" s="150"/>
      <c r="F62" s="149"/>
      <c r="G62" s="150"/>
      <c r="H62" s="149"/>
      <c r="I62" s="150"/>
      <c r="J62" s="404"/>
      <c r="K62" s="150"/>
      <c r="L62" s="149"/>
      <c r="M62" s="150"/>
      <c r="N62" s="1002"/>
      <c r="O62" s="1001"/>
      <c r="P62" s="1001"/>
      <c r="R62" s="990"/>
    </row>
    <row r="63" spans="1:19">
      <c r="A63" s="868"/>
      <c r="B63" s="868"/>
      <c r="C63" s="869"/>
      <c r="D63" s="149"/>
      <c r="E63" s="150"/>
      <c r="F63" s="149"/>
      <c r="G63" s="150"/>
      <c r="H63" s="149"/>
      <c r="I63" s="150"/>
      <c r="J63" s="404"/>
      <c r="K63" s="150"/>
      <c r="L63" s="149"/>
      <c r="M63" s="150"/>
      <c r="N63" s="1002"/>
      <c r="O63" s="1001"/>
      <c r="P63" s="1001"/>
      <c r="R63" s="990"/>
    </row>
    <row r="64" spans="1:19">
      <c r="A64" s="868"/>
      <c r="B64" s="868"/>
      <c r="C64" s="869"/>
      <c r="D64" s="149"/>
      <c r="E64" s="150"/>
      <c r="F64" s="149"/>
      <c r="G64" s="150"/>
      <c r="H64" s="149"/>
      <c r="I64" s="150"/>
      <c r="J64" s="404"/>
      <c r="K64" s="150"/>
      <c r="L64" s="149"/>
      <c r="M64" s="150"/>
      <c r="N64" s="1002"/>
      <c r="O64" s="1001"/>
      <c r="P64" s="1001"/>
      <c r="R64" s="990"/>
    </row>
    <row r="65" spans="1:18">
      <c r="A65" s="868"/>
      <c r="B65" s="868"/>
      <c r="C65" s="869"/>
      <c r="D65" s="149"/>
      <c r="E65" s="150"/>
      <c r="F65" s="149"/>
      <c r="G65" s="150"/>
      <c r="H65" s="149"/>
      <c r="I65" s="150"/>
      <c r="J65" s="404"/>
      <c r="K65" s="150"/>
      <c r="L65" s="149"/>
      <c r="M65" s="150"/>
      <c r="N65" s="1002"/>
      <c r="O65" s="1001"/>
      <c r="P65" s="1001"/>
      <c r="R65" s="990"/>
    </row>
    <row r="66" spans="1:18">
      <c r="A66" s="868"/>
      <c r="B66" s="868"/>
      <c r="C66" s="869"/>
      <c r="D66" s="149"/>
      <c r="E66" s="150"/>
      <c r="F66" s="149"/>
      <c r="G66" s="150"/>
      <c r="H66" s="149"/>
      <c r="I66" s="150"/>
      <c r="J66" s="404"/>
      <c r="K66" s="150"/>
      <c r="L66" s="149"/>
      <c r="M66" s="150"/>
      <c r="N66" s="1002"/>
      <c r="O66" s="1001"/>
      <c r="P66" s="1001"/>
      <c r="R66" s="990"/>
    </row>
    <row r="67" spans="1:18">
      <c r="A67" s="868"/>
      <c r="B67" s="868"/>
      <c r="C67" s="869"/>
      <c r="D67" s="149"/>
      <c r="E67" s="150"/>
      <c r="F67" s="149"/>
      <c r="G67" s="150"/>
      <c r="H67" s="149"/>
      <c r="I67" s="150"/>
      <c r="J67" s="404"/>
      <c r="K67" s="150"/>
      <c r="L67" s="149"/>
      <c r="M67" s="150"/>
      <c r="N67" s="1002"/>
      <c r="O67" s="1001"/>
      <c r="P67" s="1001"/>
      <c r="R67" s="990"/>
    </row>
    <row r="68" spans="1:18" ht="15" customHeight="1">
      <c r="A68" s="173" t="s">
        <v>283</v>
      </c>
      <c r="B68" s="797"/>
      <c r="C68" s="798"/>
      <c r="D68" s="144"/>
      <c r="E68" s="344"/>
      <c r="F68" s="144"/>
      <c r="G68" s="344"/>
      <c r="H68" s="144"/>
      <c r="I68" s="344"/>
      <c r="J68" s="173"/>
      <c r="K68" s="344"/>
      <c r="L68" s="144"/>
      <c r="M68" s="344"/>
      <c r="N68" s="997"/>
      <c r="O68" s="998"/>
      <c r="R68" s="963">
        <f>M57-R57</f>
        <v>-777458</v>
      </c>
    </row>
    <row r="69" spans="1:18">
      <c r="A69" s="124" t="s">
        <v>51</v>
      </c>
      <c r="B69" s="867"/>
      <c r="C69" s="102" t="s">
        <v>149</v>
      </c>
      <c r="D69" s="100" t="s">
        <v>15</v>
      </c>
      <c r="E69" s="141"/>
      <c r="F69" s="100" t="s">
        <v>15</v>
      </c>
      <c r="G69" s="141"/>
      <c r="H69" s="100" t="s">
        <v>15</v>
      </c>
      <c r="I69" s="141">
        <f>K69-G69</f>
        <v>0</v>
      </c>
      <c r="J69" s="124" t="s">
        <v>15</v>
      </c>
      <c r="K69" s="141"/>
      <c r="L69" s="100" t="s">
        <v>15</v>
      </c>
      <c r="M69" s="141"/>
      <c r="N69" s="973" t="s">
        <v>15</v>
      </c>
      <c r="O69" s="974"/>
    </row>
    <row r="70" spans="1:18">
      <c r="A70" s="124" t="s">
        <v>508</v>
      </c>
      <c r="B70" s="867"/>
      <c r="C70" s="102"/>
      <c r="D70" s="100"/>
      <c r="E70" s="141">
        <v>0</v>
      </c>
      <c r="F70" s="100"/>
      <c r="G70" s="141">
        <v>0</v>
      </c>
      <c r="H70" s="100"/>
      <c r="I70" s="141">
        <f t="shared" ref="I70" si="15">K70-G70</f>
        <v>700000</v>
      </c>
      <c r="J70" s="124"/>
      <c r="K70" s="141">
        <v>700000</v>
      </c>
      <c r="L70" s="100"/>
      <c r="M70" s="141">
        <v>0</v>
      </c>
      <c r="N70" s="975"/>
      <c r="O70" s="976">
        <v>0</v>
      </c>
    </row>
    <row r="71" spans="1:18">
      <c r="A71" s="124" t="s">
        <v>152</v>
      </c>
      <c r="B71" s="867"/>
      <c r="C71" s="102" t="s">
        <v>150</v>
      </c>
      <c r="D71" s="100"/>
      <c r="E71" s="141"/>
      <c r="F71" s="100"/>
      <c r="G71" s="141"/>
      <c r="H71" s="100"/>
      <c r="I71" s="141"/>
      <c r="J71" s="124"/>
      <c r="K71" s="141"/>
      <c r="L71" s="100"/>
      <c r="M71" s="141"/>
      <c r="N71" s="975"/>
      <c r="O71" s="976"/>
    </row>
    <row r="72" spans="1:18">
      <c r="A72" s="124" t="s">
        <v>732</v>
      </c>
      <c r="B72" s="867"/>
      <c r="C72" s="102"/>
      <c r="D72" s="100"/>
      <c r="E72" s="141">
        <v>0</v>
      </c>
      <c r="F72" s="100"/>
      <c r="G72" s="141">
        <v>0</v>
      </c>
      <c r="H72" s="100"/>
      <c r="I72" s="141">
        <f>K72-G72</f>
        <v>60000</v>
      </c>
      <c r="J72" s="124"/>
      <c r="K72" s="141">
        <v>60000</v>
      </c>
      <c r="L72" s="100"/>
      <c r="M72" s="141">
        <v>0</v>
      </c>
      <c r="N72" s="975"/>
      <c r="O72" s="976">
        <v>0</v>
      </c>
    </row>
    <row r="73" spans="1:18">
      <c r="A73" s="124" t="s">
        <v>339</v>
      </c>
      <c r="B73" s="867"/>
      <c r="C73" s="102"/>
      <c r="D73" s="100"/>
      <c r="E73" s="141">
        <v>0</v>
      </c>
      <c r="F73" s="100"/>
      <c r="G73" s="141">
        <v>0</v>
      </c>
      <c r="H73" s="100"/>
      <c r="I73" s="141">
        <f>K73-G73</f>
        <v>140000</v>
      </c>
      <c r="J73" s="124"/>
      <c r="K73" s="141">
        <v>140000</v>
      </c>
      <c r="L73" s="100"/>
      <c r="M73" s="141">
        <v>0</v>
      </c>
      <c r="N73" s="975"/>
      <c r="O73" s="976">
        <v>0</v>
      </c>
    </row>
    <row r="74" spans="1:18">
      <c r="A74" s="124" t="s">
        <v>409</v>
      </c>
      <c r="B74" s="867"/>
      <c r="C74" s="102" t="s">
        <v>151</v>
      </c>
      <c r="D74" s="122"/>
      <c r="E74" s="141"/>
      <c r="F74" s="122"/>
      <c r="G74" s="141"/>
      <c r="H74" s="122"/>
      <c r="I74" s="141"/>
      <c r="J74" s="121"/>
      <c r="K74" s="141"/>
      <c r="L74" s="100"/>
      <c r="M74" s="141"/>
      <c r="N74" s="975"/>
      <c r="O74" s="976"/>
    </row>
    <row r="75" spans="1:18">
      <c r="A75" s="124" t="s">
        <v>745</v>
      </c>
      <c r="B75" s="867"/>
      <c r="C75" s="102"/>
      <c r="D75" s="122"/>
      <c r="E75" s="141">
        <v>0</v>
      </c>
      <c r="F75" s="122"/>
      <c r="G75" s="141">
        <v>0</v>
      </c>
      <c r="H75" s="122"/>
      <c r="I75" s="141">
        <f t="shared" ref="I75:I76" si="16">K75-G75</f>
        <v>410000</v>
      </c>
      <c r="J75" s="121"/>
      <c r="K75" s="141">
        <v>410000</v>
      </c>
      <c r="L75" s="100"/>
      <c r="M75" s="141">
        <v>0</v>
      </c>
      <c r="N75" s="975"/>
      <c r="O75" s="976">
        <v>410000</v>
      </c>
    </row>
    <row r="76" spans="1:18">
      <c r="A76" s="345" t="s">
        <v>1118</v>
      </c>
      <c r="B76" s="343"/>
      <c r="C76" s="102"/>
      <c r="D76" s="122"/>
      <c r="E76" s="141">
        <v>0</v>
      </c>
      <c r="F76" s="122"/>
      <c r="G76" s="141">
        <v>0</v>
      </c>
      <c r="H76" s="122"/>
      <c r="I76" s="141">
        <f t="shared" si="16"/>
        <v>0</v>
      </c>
      <c r="J76" s="121"/>
      <c r="K76" s="141">
        <v>0</v>
      </c>
      <c r="L76" s="100"/>
      <c r="M76" s="141"/>
      <c r="N76" s="975"/>
      <c r="O76" s="976">
        <v>0</v>
      </c>
    </row>
    <row r="77" spans="1:18" ht="12.6" customHeight="1">
      <c r="A77" s="124" t="s">
        <v>334</v>
      </c>
      <c r="B77" s="867"/>
      <c r="C77" s="102" t="s">
        <v>335</v>
      </c>
      <c r="D77" s="122"/>
      <c r="E77" s="7"/>
      <c r="F77" s="122"/>
      <c r="G77" s="7"/>
      <c r="H77" s="122"/>
      <c r="I77" s="7"/>
      <c r="J77" s="122"/>
      <c r="K77" s="7"/>
      <c r="L77" s="100"/>
      <c r="M77" s="7"/>
      <c r="N77" s="969"/>
      <c r="O77" s="970"/>
    </row>
    <row r="78" spans="1:18">
      <c r="A78" s="124" t="s">
        <v>50</v>
      </c>
      <c r="B78" s="341"/>
      <c r="C78" s="102" t="s">
        <v>156</v>
      </c>
      <c r="D78" s="122"/>
      <c r="E78" s="141"/>
      <c r="F78" s="122"/>
      <c r="G78" s="141"/>
      <c r="H78" s="122"/>
      <c r="I78" s="141"/>
      <c r="J78" s="121"/>
      <c r="K78" s="142"/>
      <c r="L78" s="104"/>
      <c r="M78" s="142"/>
      <c r="N78" s="973"/>
      <c r="O78" s="974"/>
    </row>
    <row r="79" spans="1:18">
      <c r="A79" s="1325" t="s">
        <v>16</v>
      </c>
      <c r="B79" s="1326"/>
      <c r="C79" s="102"/>
      <c r="D79" s="109" t="s">
        <v>15</v>
      </c>
      <c r="E79" s="154">
        <f>SUM(E69:E78)</f>
        <v>0</v>
      </c>
      <c r="F79" s="109" t="s">
        <v>15</v>
      </c>
      <c r="G79" s="154">
        <f>SUM(G69:G78)</f>
        <v>0</v>
      </c>
      <c r="H79" s="109" t="s">
        <v>15</v>
      </c>
      <c r="I79" s="154">
        <f>SUM(I69:I78)</f>
        <v>1310000</v>
      </c>
      <c r="J79" s="159" t="s">
        <v>15</v>
      </c>
      <c r="K79" s="154">
        <f>SUM(K69:K78)</f>
        <v>1310000</v>
      </c>
      <c r="L79" s="125" t="s">
        <v>15</v>
      </c>
      <c r="M79" s="156">
        <f>SUM(M69:M78)</f>
        <v>0</v>
      </c>
      <c r="N79" s="981" t="s">
        <v>15</v>
      </c>
      <c r="O79" s="982">
        <f>M79-K79</f>
        <v>-1310000</v>
      </c>
      <c r="P79" s="963">
        <f>M79-K79</f>
        <v>-1310000</v>
      </c>
    </row>
    <row r="80" spans="1:18" ht="8.25" customHeight="1">
      <c r="A80" s="101"/>
      <c r="B80" s="98"/>
      <c r="C80" s="102"/>
      <c r="D80" s="100"/>
      <c r="E80" s="141"/>
      <c r="F80" s="100"/>
      <c r="G80" s="141"/>
      <c r="H80" s="100"/>
      <c r="I80" s="141"/>
      <c r="J80" s="124"/>
      <c r="K80" s="141"/>
      <c r="L80" s="100"/>
      <c r="M80" s="141"/>
      <c r="N80" s="971"/>
      <c r="O80" s="972"/>
    </row>
    <row r="81" spans="1:22">
      <c r="A81" s="1336" t="s">
        <v>277</v>
      </c>
      <c r="B81" s="1337"/>
      <c r="C81" s="113"/>
      <c r="D81" s="125" t="s">
        <v>15</v>
      </c>
      <c r="E81" s="156">
        <f>E79+E57+E36</f>
        <v>18048477.800000001</v>
      </c>
      <c r="F81" s="125" t="s">
        <v>15</v>
      </c>
      <c r="G81" s="156">
        <f>G79+G57+G36</f>
        <v>9331212.1900000013</v>
      </c>
      <c r="H81" s="125" t="s">
        <v>15</v>
      </c>
      <c r="I81" s="156">
        <f>I79+I57+I36</f>
        <v>14081626.809999999</v>
      </c>
      <c r="J81" s="163" t="s">
        <v>15</v>
      </c>
      <c r="K81" s="156">
        <f>K79+K57+K36</f>
        <v>23412839</v>
      </c>
      <c r="L81" s="125" t="s">
        <v>15</v>
      </c>
      <c r="M81" s="156">
        <f>M79+M57+M36</f>
        <v>21061956</v>
      </c>
      <c r="N81" s="981"/>
      <c r="O81" s="982"/>
      <c r="P81" s="982">
        <f>P79+P57+P36</f>
        <v>-2087458</v>
      </c>
    </row>
    <row r="82" spans="1:22" ht="6" customHeight="1">
      <c r="A82" s="283"/>
      <c r="B82" s="283"/>
      <c r="C82" s="145"/>
      <c r="D82" s="146"/>
      <c r="E82" s="405"/>
      <c r="F82" s="146"/>
      <c r="G82" s="405"/>
      <c r="H82" s="146"/>
      <c r="I82" s="405"/>
      <c r="J82" s="406"/>
      <c r="K82" s="405"/>
      <c r="L82" s="146"/>
      <c r="M82" s="405"/>
      <c r="N82" s="999"/>
      <c r="O82" s="1000"/>
      <c r="P82" s="1001"/>
    </row>
    <row r="83" spans="1:22">
      <c r="A83" s="62" t="s">
        <v>1623</v>
      </c>
      <c r="B83" s="916"/>
      <c r="C83" s="915"/>
      <c r="D83" s="149"/>
      <c r="E83" s="150"/>
      <c r="F83" s="149"/>
      <c r="G83" s="150"/>
      <c r="H83" s="149"/>
      <c r="I83" s="150"/>
      <c r="J83" s="404"/>
      <c r="K83" s="150"/>
      <c r="L83" s="149"/>
      <c r="M83" s="150"/>
      <c r="N83" s="1002"/>
      <c r="O83" s="1001"/>
      <c r="P83" s="1001"/>
    </row>
    <row r="84" spans="1:22" ht="9" customHeight="1">
      <c r="A84" s="384"/>
      <c r="B84" s="384"/>
      <c r="C84" s="385"/>
      <c r="D84" s="149"/>
      <c r="E84" s="150"/>
      <c r="F84" s="149"/>
      <c r="G84" s="150"/>
      <c r="H84" s="149"/>
      <c r="I84" s="150"/>
      <c r="J84" s="404"/>
      <c r="K84" s="150"/>
      <c r="L84" s="149"/>
      <c r="M84" s="150"/>
      <c r="N84" s="1002"/>
      <c r="O84" s="1001"/>
      <c r="P84" s="1001"/>
    </row>
    <row r="85" spans="1:22" s="127" customFormat="1">
      <c r="A85" s="291" t="s">
        <v>187</v>
      </c>
      <c r="B85" s="291"/>
      <c r="C85" s="292" t="s">
        <v>188</v>
      </c>
      <c r="D85" s="291"/>
      <c r="E85" s="291"/>
      <c r="F85" s="293"/>
      <c r="G85" s="291"/>
      <c r="H85" s="291"/>
      <c r="I85" s="291" t="s">
        <v>190</v>
      </c>
      <c r="J85" s="292"/>
      <c r="K85" s="291"/>
      <c r="L85" s="293"/>
      <c r="M85" s="291"/>
      <c r="N85" s="1003"/>
      <c r="O85" s="1004"/>
      <c r="P85" s="964"/>
      <c r="Q85" s="985"/>
      <c r="R85" s="1009"/>
      <c r="S85" s="1009"/>
      <c r="T85" s="130"/>
      <c r="U85" s="130"/>
      <c r="V85" s="130"/>
    </row>
    <row r="86" spans="1:22" s="127" customFormat="1">
      <c r="A86" s="291"/>
      <c r="B86" s="291"/>
      <c r="C86" s="292"/>
      <c r="D86" s="291"/>
      <c r="E86" s="291"/>
      <c r="F86" s="293"/>
      <c r="G86" s="291"/>
      <c r="H86" s="291"/>
      <c r="I86" s="291"/>
      <c r="J86" s="292"/>
      <c r="K86" s="291"/>
      <c r="L86" s="293"/>
      <c r="M86" s="291"/>
      <c r="N86" s="1003"/>
      <c r="O86" s="1004"/>
      <c r="P86" s="964"/>
      <c r="Q86" s="985"/>
      <c r="R86" s="1009"/>
      <c r="S86" s="1009"/>
      <c r="T86" s="130"/>
      <c r="U86" s="130"/>
      <c r="V86" s="130"/>
    </row>
    <row r="87" spans="1:22">
      <c r="A87" s="108"/>
      <c r="B87" s="108"/>
      <c r="C87" s="108"/>
      <c r="D87" s="111"/>
      <c r="E87" s="108"/>
      <c r="F87" s="111"/>
      <c r="G87" s="108"/>
      <c r="H87" s="111"/>
      <c r="I87" s="108"/>
      <c r="J87" s="160"/>
      <c r="K87" s="108"/>
      <c r="L87" s="111"/>
      <c r="M87" s="108"/>
      <c r="N87" s="983"/>
      <c r="O87" s="1005"/>
    </row>
    <row r="88" spans="1:22" s="89" customFormat="1">
      <c r="A88" s="1340" t="s">
        <v>1599</v>
      </c>
      <c r="B88" s="1340"/>
      <c r="C88" s="1340" t="s">
        <v>1584</v>
      </c>
      <c r="D88" s="1340"/>
      <c r="E88" s="1340"/>
      <c r="F88" s="1340"/>
      <c r="G88" s="1340"/>
      <c r="H88" s="1340" t="str">
        <f>osca!H50</f>
        <v>(Sgd.) ATTY. JOSE JOEL P. DOROMAL</v>
      </c>
      <c r="I88" s="1340"/>
      <c r="J88" s="1340"/>
      <c r="K88" s="1340"/>
      <c r="L88" s="1340"/>
      <c r="M88" s="1340"/>
      <c r="N88" s="1006"/>
      <c r="O88" s="1006"/>
      <c r="P88" s="965"/>
      <c r="Q88" s="965"/>
      <c r="R88" s="965"/>
      <c r="S88" s="965"/>
    </row>
    <row r="89" spans="1:22">
      <c r="A89" s="1339" t="s">
        <v>196</v>
      </c>
      <c r="B89" s="1339"/>
      <c r="C89" s="1339" t="s">
        <v>198</v>
      </c>
      <c r="D89" s="1339"/>
      <c r="E89" s="1339"/>
      <c r="F89" s="1339"/>
      <c r="G89" s="1339"/>
      <c r="H89" s="1339" t="s">
        <v>192</v>
      </c>
      <c r="I89" s="1339"/>
      <c r="J89" s="1339"/>
      <c r="K89" s="1339"/>
      <c r="L89" s="1339"/>
      <c r="M89" s="1339"/>
      <c r="N89" s="1007"/>
      <c r="O89" s="1007"/>
    </row>
    <row r="90" spans="1:22" ht="15" customHeight="1">
      <c r="A90" s="132" t="s">
        <v>197</v>
      </c>
      <c r="B90" s="132"/>
      <c r="C90" s="89"/>
      <c r="D90" s="131"/>
      <c r="E90" s="132"/>
      <c r="F90" s="132"/>
      <c r="G90" s="132"/>
      <c r="H90" s="132"/>
      <c r="I90" s="132"/>
      <c r="J90" s="164"/>
      <c r="K90" s="132"/>
      <c r="L90" s="132"/>
      <c r="M90" s="132"/>
      <c r="N90" s="986"/>
      <c r="O90" s="986"/>
    </row>
    <row r="91" spans="1:22">
      <c r="A91" s="133" t="s">
        <v>199</v>
      </c>
      <c r="B91" s="133"/>
      <c r="E91" s="133"/>
      <c r="F91" s="133"/>
      <c r="G91" s="133"/>
      <c r="H91" s="133"/>
      <c r="I91" s="133"/>
      <c r="K91" s="133"/>
      <c r="L91" s="133"/>
      <c r="M91" s="133"/>
      <c r="N91" s="987"/>
      <c r="O91" s="987"/>
    </row>
    <row r="92" spans="1:22">
      <c r="A92" s="133"/>
      <c r="B92" s="133"/>
      <c r="E92" s="133"/>
      <c r="F92" s="133"/>
      <c r="G92" s="133"/>
      <c r="H92" s="133"/>
      <c r="I92" s="133"/>
      <c r="K92" s="133"/>
      <c r="L92" s="133"/>
      <c r="M92" s="133"/>
      <c r="N92" s="987"/>
      <c r="O92" s="987"/>
    </row>
    <row r="93" spans="1:22">
      <c r="A93" s="133"/>
      <c r="B93" s="133"/>
      <c r="E93" s="133"/>
      <c r="F93" s="133"/>
      <c r="G93" s="133"/>
      <c r="H93" s="133"/>
      <c r="I93" s="133"/>
      <c r="K93" s="133"/>
      <c r="L93" s="133"/>
      <c r="M93" s="133"/>
      <c r="N93" s="987"/>
      <c r="O93" s="987"/>
    </row>
    <row r="94" spans="1:22">
      <c r="A94" s="133"/>
      <c r="B94" s="133"/>
      <c r="E94" s="133"/>
      <c r="F94" s="133"/>
      <c r="G94" s="133"/>
      <c r="H94" s="133"/>
      <c r="I94" s="133"/>
      <c r="K94" s="133"/>
      <c r="L94" s="133"/>
      <c r="M94" s="133"/>
      <c r="N94" s="987"/>
      <c r="O94" s="987"/>
    </row>
    <row r="95" spans="1:22">
      <c r="A95" s="133"/>
      <c r="B95" s="133"/>
      <c r="E95" s="133"/>
      <c r="F95" s="133"/>
      <c r="G95" s="133"/>
      <c r="H95" s="133"/>
      <c r="I95" s="133"/>
      <c r="K95" s="133"/>
      <c r="L95" s="133"/>
      <c r="M95" s="133"/>
      <c r="N95" s="987"/>
      <c r="O95" s="987"/>
    </row>
    <row r="96" spans="1:22">
      <c r="A96" s="133"/>
      <c r="B96" s="133"/>
      <c r="E96" s="133"/>
      <c r="F96" s="133"/>
      <c r="G96" s="133"/>
      <c r="H96" s="133"/>
      <c r="I96" s="133"/>
      <c r="K96" s="133"/>
      <c r="L96" s="133"/>
      <c r="M96" s="133"/>
      <c r="N96" s="987"/>
      <c r="O96" s="987"/>
    </row>
    <row r="97" spans="1:15">
      <c r="A97" s="133"/>
      <c r="B97" s="133"/>
      <c r="E97" s="133"/>
      <c r="F97" s="133"/>
      <c r="G97" s="133"/>
      <c r="H97" s="133"/>
      <c r="I97" s="133"/>
      <c r="K97" s="133"/>
      <c r="L97" s="133"/>
      <c r="M97" s="133"/>
      <c r="N97" s="987"/>
      <c r="O97" s="987"/>
    </row>
    <row r="98" spans="1:15">
      <c r="A98" s="133"/>
      <c r="B98" s="133"/>
      <c r="E98" s="133"/>
      <c r="F98" s="133"/>
      <c r="G98" s="133"/>
      <c r="H98" s="133"/>
      <c r="I98" s="133"/>
      <c r="K98" s="133"/>
      <c r="L98" s="133"/>
      <c r="M98" s="133"/>
      <c r="N98" s="987"/>
      <c r="O98" s="987"/>
    </row>
    <row r="99" spans="1:15">
      <c r="A99" s="133"/>
      <c r="B99" s="133"/>
      <c r="E99" s="133"/>
      <c r="F99" s="133"/>
      <c r="G99" s="133"/>
      <c r="H99" s="133"/>
      <c r="I99" s="133"/>
      <c r="K99" s="133"/>
      <c r="L99" s="133"/>
      <c r="M99" s="133"/>
      <c r="N99" s="987"/>
      <c r="O99" s="987"/>
    </row>
    <row r="100" spans="1:15">
      <c r="A100" s="133"/>
      <c r="B100" s="133"/>
      <c r="E100" s="133"/>
      <c r="F100" s="133"/>
      <c r="G100" s="133"/>
      <c r="H100" s="133"/>
      <c r="I100" s="133"/>
      <c r="K100" s="133"/>
      <c r="L100" s="133"/>
      <c r="M100" s="133"/>
      <c r="N100" s="987"/>
      <c r="O100" s="987"/>
    </row>
    <row r="101" spans="1:15">
      <c r="A101" s="133"/>
      <c r="B101" s="133"/>
      <c r="E101" s="133"/>
      <c r="F101" s="133"/>
      <c r="G101" s="133"/>
      <c r="H101" s="133"/>
      <c r="I101" s="133"/>
      <c r="K101" s="133"/>
      <c r="L101" s="133"/>
      <c r="M101" s="133"/>
      <c r="N101" s="987"/>
      <c r="O101" s="987"/>
    </row>
    <row r="102" spans="1:15">
      <c r="A102" s="133"/>
      <c r="B102" s="133"/>
      <c r="E102" s="133"/>
      <c r="F102" s="133"/>
      <c r="G102" s="133"/>
      <c r="H102" s="133"/>
      <c r="I102" s="133"/>
      <c r="K102" s="133"/>
      <c r="L102" s="133"/>
      <c r="M102" s="133"/>
      <c r="N102" s="987"/>
      <c r="O102" s="987"/>
    </row>
    <row r="103" spans="1:15">
      <c r="A103" s="133"/>
      <c r="B103" s="133"/>
      <c r="E103" s="133"/>
      <c r="F103" s="133"/>
      <c r="G103" s="133"/>
      <c r="H103" s="133"/>
      <c r="I103" s="133"/>
      <c r="K103" s="133"/>
      <c r="L103" s="133"/>
      <c r="M103" s="133"/>
      <c r="N103" s="987"/>
      <c r="O103" s="987"/>
    </row>
    <row r="104" spans="1:15">
      <c r="A104" s="133"/>
      <c r="B104" s="133"/>
      <c r="E104" s="133"/>
      <c r="F104" s="133"/>
      <c r="G104" s="133"/>
      <c r="H104" s="133"/>
      <c r="I104" s="133"/>
      <c r="K104" s="133"/>
      <c r="L104" s="133"/>
      <c r="M104" s="133"/>
      <c r="N104" s="987"/>
      <c r="O104" s="987"/>
    </row>
    <row r="105" spans="1:15">
      <c r="A105" s="133"/>
      <c r="B105" s="133"/>
      <c r="E105" s="133"/>
      <c r="F105" s="133"/>
      <c r="G105" s="133"/>
      <c r="H105" s="133"/>
      <c r="I105" s="133"/>
      <c r="K105" s="133"/>
      <c r="L105" s="133"/>
      <c r="M105" s="133"/>
      <c r="N105" s="987"/>
      <c r="O105" s="987"/>
    </row>
    <row r="106" spans="1:15">
      <c r="A106" s="133"/>
      <c r="B106" s="133"/>
      <c r="E106" s="133"/>
      <c r="F106" s="133"/>
      <c r="G106" s="133"/>
      <c r="H106" s="133"/>
      <c r="I106" s="133"/>
      <c r="K106" s="133"/>
      <c r="L106" s="133"/>
      <c r="M106" s="133"/>
      <c r="N106" s="987"/>
      <c r="O106" s="987"/>
    </row>
    <row r="107" spans="1:15">
      <c r="A107" s="133"/>
      <c r="B107" s="133"/>
      <c r="E107" s="133"/>
      <c r="F107" s="133"/>
      <c r="G107" s="133"/>
      <c r="H107" s="133"/>
      <c r="I107" s="133"/>
      <c r="K107" s="133"/>
      <c r="L107" s="133"/>
      <c r="M107" s="133"/>
      <c r="N107" s="987"/>
      <c r="O107" s="987"/>
    </row>
    <row r="108" spans="1:15">
      <c r="A108" s="133"/>
      <c r="B108" s="133"/>
      <c r="E108" s="133"/>
      <c r="F108" s="133"/>
      <c r="G108" s="133"/>
      <c r="H108" s="133"/>
      <c r="I108" s="133"/>
      <c r="K108" s="133"/>
      <c r="L108" s="133"/>
      <c r="M108" s="133"/>
      <c r="N108" s="987"/>
      <c r="O108" s="987"/>
    </row>
    <row r="109" spans="1:15">
      <c r="A109" s="133"/>
      <c r="B109" s="133"/>
      <c r="E109" s="133"/>
      <c r="F109" s="133"/>
      <c r="G109" s="133"/>
      <c r="H109" s="133"/>
      <c r="I109" s="133"/>
      <c r="K109" s="133"/>
      <c r="L109" s="133"/>
      <c r="M109" s="133"/>
      <c r="N109" s="987"/>
      <c r="O109" s="987"/>
    </row>
    <row r="110" spans="1:15">
      <c r="A110" s="133"/>
      <c r="B110" s="133"/>
      <c r="E110" s="133"/>
      <c r="F110" s="133"/>
      <c r="G110" s="133"/>
      <c r="H110" s="133"/>
      <c r="I110" s="133"/>
      <c r="K110" s="133"/>
      <c r="L110" s="133"/>
      <c r="M110" s="133"/>
      <c r="N110" s="987"/>
      <c r="O110" s="987"/>
    </row>
    <row r="111" spans="1:15">
      <c r="A111" s="133"/>
      <c r="B111" s="133"/>
      <c r="E111" s="133"/>
      <c r="F111" s="133"/>
      <c r="G111" s="133"/>
      <c r="H111" s="133"/>
      <c r="I111" s="133"/>
      <c r="K111" s="133"/>
      <c r="L111" s="133"/>
      <c r="M111" s="133"/>
      <c r="N111" s="987"/>
      <c r="O111" s="987"/>
    </row>
    <row r="112" spans="1:15">
      <c r="A112" s="133"/>
      <c r="B112" s="133"/>
      <c r="E112" s="133"/>
      <c r="F112" s="133"/>
      <c r="G112" s="133"/>
      <c r="H112" s="133"/>
      <c r="I112" s="133"/>
      <c r="K112" s="133"/>
      <c r="L112" s="133"/>
      <c r="M112" s="133"/>
      <c r="N112" s="987"/>
      <c r="O112" s="987"/>
    </row>
    <row r="113" spans="1:15">
      <c r="A113" s="133"/>
      <c r="B113" s="133"/>
      <c r="E113" s="133"/>
      <c r="F113" s="133"/>
      <c r="G113" s="133"/>
      <c r="H113" s="133"/>
      <c r="I113" s="133"/>
      <c r="K113" s="133"/>
      <c r="L113" s="133"/>
      <c r="M113" s="133"/>
      <c r="N113" s="987"/>
      <c r="O113" s="987"/>
    </row>
    <row r="114" spans="1:15">
      <c r="A114" s="133"/>
      <c r="B114" s="133"/>
      <c r="E114" s="133"/>
      <c r="F114" s="133"/>
      <c r="G114" s="133"/>
      <c r="H114" s="133"/>
      <c r="I114" s="133"/>
      <c r="K114" s="133"/>
      <c r="L114" s="133"/>
      <c r="M114" s="133"/>
      <c r="N114" s="987"/>
      <c r="O114" s="987"/>
    </row>
    <row r="115" spans="1:15">
      <c r="A115" s="133"/>
      <c r="B115" s="133"/>
      <c r="E115" s="133"/>
      <c r="F115" s="133"/>
      <c r="G115" s="133"/>
      <c r="H115" s="133"/>
      <c r="I115" s="133"/>
      <c r="K115" s="133"/>
      <c r="L115" s="133"/>
      <c r="M115" s="133"/>
      <c r="N115" s="987"/>
      <c r="O115" s="987"/>
    </row>
    <row r="116" spans="1:15">
      <c r="A116" s="133"/>
      <c r="B116" s="133"/>
      <c r="E116" s="133"/>
      <c r="F116" s="133"/>
      <c r="G116" s="133"/>
      <c r="H116" s="133"/>
      <c r="I116" s="133"/>
      <c r="K116" s="133"/>
      <c r="L116" s="133"/>
      <c r="M116" s="133"/>
      <c r="N116" s="987"/>
      <c r="O116" s="987"/>
    </row>
    <row r="117" spans="1:15">
      <c r="A117" s="133"/>
      <c r="B117" s="133"/>
      <c r="E117" s="133"/>
      <c r="F117" s="133"/>
      <c r="G117" s="133"/>
      <c r="H117" s="133"/>
      <c r="I117" s="133"/>
      <c r="K117" s="133"/>
      <c r="L117" s="133"/>
      <c r="M117" s="133"/>
      <c r="N117" s="987"/>
      <c r="O117" s="987"/>
    </row>
    <row r="118" spans="1:15">
      <c r="A118" s="133"/>
      <c r="B118" s="133"/>
      <c r="E118" s="133"/>
      <c r="F118" s="133"/>
      <c r="G118" s="133"/>
      <c r="H118" s="133"/>
      <c r="I118" s="133"/>
      <c r="K118" s="133"/>
      <c r="L118" s="133"/>
      <c r="M118" s="133"/>
      <c r="N118" s="987"/>
      <c r="O118" s="987"/>
    </row>
    <row r="119" spans="1:15">
      <c r="A119" s="133"/>
      <c r="B119" s="133"/>
      <c r="E119" s="133"/>
      <c r="F119" s="133"/>
      <c r="G119" s="133"/>
      <c r="H119" s="133"/>
      <c r="I119" s="133"/>
      <c r="K119" s="133"/>
      <c r="L119" s="133"/>
      <c r="M119" s="133"/>
      <c r="N119" s="987"/>
      <c r="O119" s="987"/>
    </row>
    <row r="120" spans="1:15">
      <c r="A120" s="133"/>
      <c r="B120" s="133"/>
      <c r="E120" s="133"/>
      <c r="F120" s="133"/>
      <c r="G120" s="133"/>
      <c r="H120" s="133"/>
      <c r="I120" s="133"/>
      <c r="K120" s="133"/>
      <c r="L120" s="133"/>
      <c r="M120" s="133"/>
      <c r="N120" s="987"/>
      <c r="O120" s="987"/>
    </row>
    <row r="121" spans="1:15">
      <c r="A121" s="133"/>
      <c r="B121" s="133"/>
      <c r="E121" s="133"/>
      <c r="F121" s="133"/>
      <c r="G121" s="133"/>
      <c r="H121" s="133"/>
      <c r="I121" s="133"/>
      <c r="K121" s="133"/>
      <c r="L121" s="133"/>
      <c r="M121" s="133"/>
      <c r="N121" s="987"/>
      <c r="O121" s="987"/>
    </row>
    <row r="122" spans="1:15">
      <c r="A122" s="133"/>
      <c r="B122" s="133"/>
      <c r="E122" s="133"/>
      <c r="F122" s="133"/>
      <c r="G122" s="133"/>
      <c r="H122" s="133"/>
      <c r="I122" s="133"/>
      <c r="K122" s="133"/>
      <c r="L122" s="133"/>
      <c r="M122" s="133"/>
      <c r="N122" s="987"/>
      <c r="O122" s="987"/>
    </row>
    <row r="123" spans="1:15">
      <c r="A123" s="133"/>
      <c r="B123" s="133"/>
      <c r="E123" s="133"/>
      <c r="F123" s="133"/>
      <c r="G123" s="133"/>
      <c r="H123" s="133"/>
      <c r="I123" s="133"/>
      <c r="K123" s="133"/>
      <c r="L123" s="133"/>
      <c r="M123" s="133"/>
      <c r="N123" s="987"/>
      <c r="O123" s="987"/>
    </row>
    <row r="124" spans="1:15">
      <c r="A124" s="133"/>
      <c r="B124" s="133"/>
      <c r="E124" s="133"/>
      <c r="F124" s="133"/>
      <c r="G124" s="133"/>
      <c r="H124" s="133"/>
      <c r="I124" s="133"/>
      <c r="K124" s="133"/>
      <c r="L124" s="133"/>
      <c r="M124" s="133"/>
      <c r="N124" s="987"/>
      <c r="O124" s="987"/>
    </row>
    <row r="125" spans="1:15">
      <c r="A125" s="133"/>
      <c r="B125" s="133"/>
      <c r="E125" s="133"/>
      <c r="F125" s="133"/>
      <c r="G125" s="133"/>
      <c r="H125" s="133"/>
      <c r="I125" s="133"/>
      <c r="K125" s="133"/>
      <c r="L125" s="133"/>
      <c r="M125" s="133"/>
      <c r="N125" s="987"/>
      <c r="O125" s="987"/>
    </row>
    <row r="126" spans="1:15">
      <c r="A126" s="133"/>
      <c r="B126" s="133"/>
      <c r="E126" s="133"/>
      <c r="F126" s="133"/>
      <c r="G126" s="133"/>
      <c r="H126" s="133"/>
      <c r="I126" s="133"/>
      <c r="K126" s="133"/>
      <c r="L126" s="133"/>
      <c r="M126" s="133"/>
      <c r="N126" s="987"/>
      <c r="O126" s="987"/>
    </row>
    <row r="127" spans="1:15">
      <c r="A127" s="133"/>
      <c r="B127" s="133"/>
      <c r="E127" s="133"/>
      <c r="F127" s="133"/>
      <c r="G127" s="133"/>
      <c r="H127" s="133"/>
      <c r="I127" s="133"/>
      <c r="K127" s="133"/>
      <c r="L127" s="133"/>
      <c r="M127" s="133"/>
      <c r="N127" s="987"/>
      <c r="O127" s="987"/>
    </row>
    <row r="128" spans="1:15">
      <c r="A128" s="133"/>
      <c r="B128" s="133"/>
      <c r="E128" s="133"/>
      <c r="F128" s="133"/>
      <c r="G128" s="133"/>
      <c r="H128" s="133"/>
      <c r="I128" s="133"/>
      <c r="K128" s="133"/>
      <c r="L128" s="133"/>
      <c r="M128" s="133"/>
      <c r="N128" s="987"/>
      <c r="O128" s="987"/>
    </row>
    <row r="129" spans="1:15">
      <c r="A129" s="133"/>
      <c r="B129" s="133"/>
      <c r="E129" s="133"/>
      <c r="F129" s="133"/>
      <c r="G129" s="133"/>
      <c r="H129" s="133"/>
      <c r="I129" s="133"/>
      <c r="K129" s="133"/>
      <c r="L129" s="133"/>
      <c r="M129" s="133"/>
      <c r="N129" s="987"/>
      <c r="O129" s="987"/>
    </row>
    <row r="130" spans="1:15">
      <c r="A130" s="133"/>
      <c r="B130" s="133"/>
      <c r="E130" s="133"/>
      <c r="F130" s="133"/>
      <c r="G130" s="133"/>
      <c r="H130" s="133"/>
      <c r="I130" s="133"/>
      <c r="K130" s="133"/>
      <c r="L130" s="133"/>
      <c r="M130" s="133"/>
      <c r="N130" s="987"/>
      <c r="O130" s="987"/>
    </row>
    <row r="131" spans="1:15">
      <c r="A131" s="133"/>
      <c r="B131" s="133"/>
      <c r="E131" s="133"/>
      <c r="F131" s="133"/>
      <c r="G131" s="133"/>
      <c r="H131" s="133"/>
      <c r="I131" s="133"/>
      <c r="K131" s="133"/>
      <c r="L131" s="133"/>
      <c r="M131" s="133"/>
      <c r="N131" s="987"/>
      <c r="O131" s="987"/>
    </row>
    <row r="132" spans="1:15">
      <c r="A132" s="133"/>
      <c r="B132" s="133"/>
      <c r="E132" s="133"/>
      <c r="F132" s="133"/>
      <c r="G132" s="133"/>
      <c r="H132" s="133"/>
      <c r="I132" s="133"/>
      <c r="K132" s="133"/>
      <c r="L132" s="133"/>
      <c r="M132" s="133"/>
      <c r="N132" s="987"/>
      <c r="O132" s="987"/>
    </row>
    <row r="133" spans="1:15">
      <c r="A133" s="133"/>
      <c r="B133" s="133"/>
      <c r="E133" s="133"/>
      <c r="F133" s="133"/>
      <c r="G133" s="133"/>
      <c r="H133" s="133"/>
      <c r="I133" s="133"/>
      <c r="K133" s="133"/>
      <c r="L133" s="133"/>
      <c r="M133" s="133"/>
      <c r="N133" s="987"/>
      <c r="O133" s="987"/>
    </row>
    <row r="134" spans="1:15">
      <c r="A134" s="133"/>
      <c r="B134" s="133"/>
      <c r="E134" s="133"/>
      <c r="F134" s="133"/>
      <c r="G134" s="133"/>
      <c r="H134" s="133"/>
      <c r="I134" s="133"/>
      <c r="K134" s="133"/>
      <c r="L134" s="133"/>
      <c r="M134" s="133"/>
      <c r="N134" s="987"/>
      <c r="O134" s="987"/>
    </row>
    <row r="135" spans="1:15">
      <c r="A135" s="133"/>
      <c r="B135" s="133"/>
      <c r="E135" s="133"/>
      <c r="F135" s="133"/>
      <c r="G135" s="133"/>
      <c r="H135" s="133"/>
      <c r="I135" s="133"/>
      <c r="K135" s="133"/>
      <c r="L135" s="133"/>
      <c r="M135" s="133"/>
      <c r="N135" s="987"/>
      <c r="O135" s="987"/>
    </row>
    <row r="136" spans="1:15">
      <c r="A136" s="133"/>
      <c r="B136" s="133"/>
      <c r="E136" s="133"/>
      <c r="F136" s="133"/>
      <c r="G136" s="133"/>
      <c r="H136" s="133"/>
      <c r="I136" s="133"/>
      <c r="K136" s="133"/>
      <c r="L136" s="133"/>
      <c r="M136" s="133"/>
      <c r="N136" s="987"/>
      <c r="O136" s="987"/>
    </row>
    <row r="137" spans="1:15">
      <c r="A137" s="133"/>
      <c r="B137" s="133"/>
      <c r="E137" s="133"/>
      <c r="F137" s="133"/>
      <c r="G137" s="133"/>
      <c r="H137" s="133"/>
      <c r="I137" s="133"/>
      <c r="K137" s="133"/>
      <c r="L137" s="133"/>
      <c r="M137" s="133"/>
      <c r="N137" s="987"/>
      <c r="O137" s="987"/>
    </row>
    <row r="138" spans="1:15">
      <c r="A138" s="134" t="s">
        <v>239</v>
      </c>
      <c r="B138" s="92"/>
      <c r="C138" s="92"/>
      <c r="D138" s="116"/>
      <c r="E138" s="115"/>
    </row>
    <row r="139" spans="1:15">
      <c r="A139" s="1324" t="s">
        <v>60</v>
      </c>
      <c r="B139" s="1339"/>
      <c r="C139" s="108"/>
      <c r="D139" s="111"/>
      <c r="E139" s="98"/>
    </row>
    <row r="140" spans="1:15">
      <c r="A140" s="101" t="s">
        <v>233</v>
      </c>
      <c r="B140" s="108"/>
      <c r="C140" s="108"/>
      <c r="D140" s="111"/>
      <c r="E140" s="135" t="s">
        <v>228</v>
      </c>
    </row>
    <row r="141" spans="1:15">
      <c r="A141" s="101"/>
      <c r="B141" s="108"/>
      <c r="C141" s="108"/>
      <c r="D141" s="111"/>
      <c r="E141" s="98"/>
    </row>
    <row r="142" spans="1:15">
      <c r="A142" s="136" t="s">
        <v>61</v>
      </c>
      <c r="B142" s="108"/>
      <c r="C142" s="108"/>
      <c r="D142" s="111" t="s">
        <v>15</v>
      </c>
      <c r="E142" s="7">
        <v>185000</v>
      </c>
    </row>
    <row r="143" spans="1:15">
      <c r="A143" s="136" t="s">
        <v>408</v>
      </c>
      <c r="B143" s="108"/>
      <c r="C143" s="108"/>
      <c r="D143" s="111"/>
      <c r="E143" s="7">
        <v>861000</v>
      </c>
    </row>
    <row r="144" spans="1:15">
      <c r="A144" s="136" t="s">
        <v>65</v>
      </c>
      <c r="B144" s="108"/>
      <c r="C144" s="108"/>
      <c r="D144" s="111"/>
      <c r="E144" s="7">
        <v>350000</v>
      </c>
    </row>
    <row r="145" spans="1:5">
      <c r="A145" s="136" t="s">
        <v>66</v>
      </c>
      <c r="B145" s="108"/>
      <c r="C145" s="108"/>
      <c r="D145" s="111"/>
      <c r="E145" s="7">
        <v>170000</v>
      </c>
    </row>
    <row r="146" spans="1:5" ht="15.75">
      <c r="A146" s="136" t="s">
        <v>67</v>
      </c>
      <c r="B146" s="108"/>
      <c r="C146" s="108"/>
      <c r="D146" s="111"/>
      <c r="E146" s="137">
        <v>250000</v>
      </c>
    </row>
    <row r="147" spans="1:5">
      <c r="A147" s="1320" t="s">
        <v>64</v>
      </c>
      <c r="B147" s="1321"/>
      <c r="C147" s="108"/>
      <c r="D147" s="111" t="s">
        <v>15</v>
      </c>
      <c r="E147" s="7">
        <f>SUM(E142:E146)</f>
        <v>1816000</v>
      </c>
    </row>
    <row r="148" spans="1:5">
      <c r="A148" s="138"/>
      <c r="B148" s="90"/>
      <c r="C148" s="90"/>
      <c r="D148" s="139"/>
      <c r="E148" s="112"/>
    </row>
    <row r="151" spans="1:5">
      <c r="A151" s="134" t="s">
        <v>239</v>
      </c>
      <c r="B151" s="92"/>
      <c r="C151" s="92"/>
      <c r="D151" s="116"/>
      <c r="E151" s="115"/>
    </row>
    <row r="152" spans="1:5">
      <c r="A152" s="1324" t="s">
        <v>60</v>
      </c>
      <c r="B152" s="1339"/>
      <c r="C152" s="108"/>
      <c r="D152" s="111"/>
      <c r="E152" s="98"/>
    </row>
    <row r="153" spans="1:5">
      <c r="A153" s="101" t="s">
        <v>233</v>
      </c>
      <c r="B153" s="108"/>
      <c r="C153" s="108"/>
      <c r="D153" s="111"/>
      <c r="E153" s="135" t="s">
        <v>300</v>
      </c>
    </row>
    <row r="154" spans="1:5">
      <c r="A154" s="101"/>
      <c r="B154" s="108"/>
      <c r="C154" s="108"/>
      <c r="D154" s="111"/>
      <c r="E154" s="98"/>
    </row>
    <row r="155" spans="1:5">
      <c r="A155" s="136" t="s">
        <v>302</v>
      </c>
      <c r="B155" s="108"/>
      <c r="C155" s="108"/>
      <c r="D155" s="111" t="s">
        <v>15</v>
      </c>
      <c r="E155" s="7">
        <v>240000</v>
      </c>
    </row>
    <row r="156" spans="1:5">
      <c r="A156" s="136" t="s">
        <v>301</v>
      </c>
      <c r="B156" s="108"/>
      <c r="C156" s="108"/>
      <c r="D156" s="111"/>
      <c r="E156" s="7">
        <v>160000</v>
      </c>
    </row>
    <row r="157" spans="1:5">
      <c r="A157" s="136" t="s">
        <v>66</v>
      </c>
      <c r="B157" s="108"/>
      <c r="C157" s="108"/>
      <c r="D157" s="111"/>
      <c r="E157" s="7">
        <v>170000</v>
      </c>
    </row>
    <row r="158" spans="1:5">
      <c r="A158" s="136" t="s">
        <v>67</v>
      </c>
      <c r="B158" s="108"/>
      <c r="C158" s="108"/>
      <c r="D158" s="111"/>
      <c r="E158" s="7">
        <v>350000</v>
      </c>
    </row>
    <row r="159" spans="1:5" ht="15.75">
      <c r="A159" s="136" t="s">
        <v>323</v>
      </c>
      <c r="B159" s="108"/>
      <c r="C159" s="108"/>
      <c r="D159" s="111"/>
      <c r="E159" s="137">
        <v>330000</v>
      </c>
    </row>
    <row r="160" spans="1:5">
      <c r="A160" s="1320" t="s">
        <v>64</v>
      </c>
      <c r="B160" s="1321"/>
      <c r="C160" s="108"/>
      <c r="D160" s="111" t="s">
        <v>15</v>
      </c>
      <c r="E160" s="7">
        <f>SUM(E155:E159)</f>
        <v>1250000</v>
      </c>
    </row>
    <row r="161" spans="1:5">
      <c r="A161" s="138"/>
      <c r="B161" s="90"/>
      <c r="C161" s="90"/>
      <c r="D161" s="139"/>
      <c r="E161" s="112"/>
    </row>
  </sheetData>
  <sheetProtection algorithmName="SHA-512" hashValue="IuNoK3RWW+mduB8lg/xjV75Gy5vC0GP6KYehyNPwRkLbwUXaobtmDUU5rqA+Hm66ztVC3LklBSw67Eas7VRk6Q==" saltValue="F1muYxHmFLQ3Gnk5bFqNMA==" spinCount="100000" sheet="1" objects="1" scenarios="1"/>
  <mergeCells count="32">
    <mergeCell ref="A36:B36"/>
    <mergeCell ref="A57:B57"/>
    <mergeCell ref="A79:B79"/>
    <mergeCell ref="A81:B81"/>
    <mergeCell ref="H89:M89"/>
    <mergeCell ref="A88:B88"/>
    <mergeCell ref="A89:B89"/>
    <mergeCell ref="N11:O13"/>
    <mergeCell ref="D13:E13"/>
    <mergeCell ref="F13:G13"/>
    <mergeCell ref="H12:I12"/>
    <mergeCell ref="H13:I13"/>
    <mergeCell ref="A12:B12"/>
    <mergeCell ref="D12:E12"/>
    <mergeCell ref="F12:G12"/>
    <mergeCell ref="L12:M12"/>
    <mergeCell ref="J12:K13"/>
    <mergeCell ref="L13:M13"/>
    <mergeCell ref="A3:M3"/>
    <mergeCell ref="A4:M4"/>
    <mergeCell ref="F7:M7"/>
    <mergeCell ref="F8:M8"/>
    <mergeCell ref="D11:E11"/>
    <mergeCell ref="L11:M11"/>
    <mergeCell ref="F11:K11"/>
    <mergeCell ref="A160:B160"/>
    <mergeCell ref="A152:B152"/>
    <mergeCell ref="A147:B147"/>
    <mergeCell ref="A139:B139"/>
    <mergeCell ref="H88:M88"/>
    <mergeCell ref="C88:G88"/>
    <mergeCell ref="C89:G89"/>
  </mergeCells>
  <pageMargins left="0.2" right="0.2" top="1" bottom="1" header="0.3" footer="0.3"/>
  <pageSetup paperSize="14" orientation="portrait" verticalDpi="300" r:id="rId1"/>
  <headerFooter alignWithMargins="0">
    <oddHeader>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V200"/>
  <sheetViews>
    <sheetView topLeftCell="A73" zoomScale="145" zoomScaleNormal="145" workbookViewId="0">
      <selection activeCell="S87" sqref="S87"/>
    </sheetView>
  </sheetViews>
  <sheetFormatPr defaultColWidth="9.140625" defaultRowHeight="12.75"/>
  <cols>
    <col min="1" max="1" width="11" style="8" customWidth="1"/>
    <col min="2" max="2" width="21" style="8" customWidth="1"/>
    <col min="3" max="3" width="7.85546875" style="8" customWidth="1"/>
    <col min="4" max="4" width="2" style="9" customWidth="1"/>
    <col min="5" max="5" width="9.28515625" style="8" customWidth="1"/>
    <col min="6" max="6" width="1.5703125" style="9" customWidth="1"/>
    <col min="7" max="7" width="8.7109375" style="8" customWidth="1"/>
    <col min="8" max="8" width="1.5703125" style="9" customWidth="1"/>
    <col min="9" max="9" width="9.140625" style="8" customWidth="1"/>
    <col min="10" max="10" width="1.5703125" style="9" customWidth="1"/>
    <col min="11" max="11" width="9.7109375" style="8" customWidth="1"/>
    <col min="12" max="12" width="1.85546875" style="9" customWidth="1"/>
    <col min="13" max="13" width="10.7109375" style="8" customWidth="1"/>
    <col min="14" max="14" width="0.140625" style="928" hidden="1" customWidth="1"/>
    <col min="15" max="15" width="11.28515625" style="922" hidden="1" customWidth="1"/>
    <col min="16" max="16" width="0.140625" style="922" customWidth="1"/>
    <col min="17" max="17" width="9.140625" style="922"/>
    <col min="18" max="16384" width="9.140625" style="8"/>
  </cols>
  <sheetData>
    <row r="1" spans="1:20">
      <c r="A1" s="8" t="s">
        <v>186</v>
      </c>
    </row>
    <row r="2" spans="1:20" ht="7.5" customHeight="1"/>
    <row r="3" spans="1:20">
      <c r="A3" s="1254" t="s">
        <v>195</v>
      </c>
      <c r="B3" s="1254"/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010"/>
      <c r="O3" s="1010"/>
      <c r="P3" s="1011"/>
      <c r="Q3" s="1011"/>
      <c r="R3" s="10"/>
      <c r="S3" s="10"/>
      <c r="T3" s="10"/>
    </row>
    <row r="4" spans="1:20" ht="12.75" customHeight="1">
      <c r="A4" s="1254" t="s">
        <v>394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010"/>
      <c r="O4" s="1010"/>
      <c r="P4" s="1011"/>
      <c r="Q4" s="1011"/>
      <c r="R4" s="10"/>
      <c r="S4" s="10"/>
      <c r="T4" s="10"/>
    </row>
    <row r="5" spans="1:20" ht="7.5" customHeight="1"/>
    <row r="6" spans="1:20">
      <c r="A6" s="11" t="s">
        <v>85</v>
      </c>
      <c r="B6" s="12" t="s">
        <v>410</v>
      </c>
      <c r="C6" s="12"/>
    </row>
    <row r="7" spans="1:20" ht="12.75" hidden="1" customHeight="1">
      <c r="A7" s="8" t="s">
        <v>2</v>
      </c>
      <c r="B7" s="13" t="s">
        <v>399</v>
      </c>
      <c r="C7" s="13"/>
      <c r="F7" s="819"/>
      <c r="G7" s="819"/>
      <c r="H7" s="819"/>
      <c r="I7" s="819"/>
      <c r="J7" s="819"/>
      <c r="K7" s="819"/>
      <c r="L7" s="819"/>
      <c r="M7" s="819"/>
      <c r="N7" s="1012"/>
      <c r="O7" s="1012"/>
    </row>
    <row r="8" spans="1:20" ht="12.75" hidden="1" customHeight="1">
      <c r="A8" s="8" t="s">
        <v>3</v>
      </c>
      <c r="B8" s="13" t="s">
        <v>400</v>
      </c>
      <c r="C8" s="13"/>
      <c r="F8" s="79"/>
      <c r="G8" s="79"/>
      <c r="H8" s="79"/>
      <c r="I8" s="79"/>
      <c r="J8" s="79"/>
      <c r="K8" s="79"/>
      <c r="L8" s="79"/>
      <c r="M8" s="79"/>
      <c r="N8" s="1013"/>
      <c r="O8" s="1013"/>
    </row>
    <row r="9" spans="1:20" ht="12.75" hidden="1" customHeight="1">
      <c r="A9" s="8" t="s">
        <v>4</v>
      </c>
      <c r="B9" s="13" t="s">
        <v>398</v>
      </c>
      <c r="C9" s="13"/>
    </row>
    <row r="10" spans="1:20" ht="5.25" customHeight="1">
      <c r="B10" s="14"/>
      <c r="C10" s="14"/>
    </row>
    <row r="11" spans="1:20">
      <c r="A11" s="15"/>
      <c r="B11" s="16"/>
      <c r="C11" s="17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328" t="s">
        <v>494</v>
      </c>
      <c r="O11" s="1329"/>
    </row>
    <row r="12" spans="1:20">
      <c r="A12" s="1308" t="s">
        <v>34</v>
      </c>
      <c r="B12" s="1309"/>
      <c r="C12" s="18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330"/>
      <c r="O12" s="1331"/>
    </row>
    <row r="13" spans="1:20" ht="11.25" customHeight="1">
      <c r="A13" s="19"/>
      <c r="B13" s="20"/>
      <c r="C13" s="21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332"/>
      <c r="O13" s="1333"/>
    </row>
    <row r="14" spans="1:20" ht="12.6" customHeight="1">
      <c r="A14" s="22" t="s">
        <v>281</v>
      </c>
      <c r="B14" s="23"/>
      <c r="C14" s="24"/>
      <c r="D14" s="25"/>
      <c r="E14" s="165"/>
      <c r="F14" s="25"/>
      <c r="G14" s="165"/>
      <c r="H14" s="25"/>
      <c r="I14" s="165"/>
      <c r="J14" s="25"/>
      <c r="K14" s="165"/>
      <c r="L14" s="25"/>
      <c r="M14" s="165"/>
      <c r="N14" s="1014"/>
      <c r="O14" s="1015"/>
    </row>
    <row r="15" spans="1:20" ht="12.6" customHeight="1">
      <c r="A15" s="28" t="s">
        <v>262</v>
      </c>
      <c r="B15" s="23"/>
      <c r="C15" s="24"/>
      <c r="D15" s="25"/>
      <c r="E15" s="165"/>
      <c r="F15" s="25"/>
      <c r="G15" s="165"/>
      <c r="H15" s="25"/>
      <c r="I15" s="165"/>
      <c r="J15" s="25"/>
      <c r="K15" s="165"/>
      <c r="L15" s="25"/>
      <c r="M15" s="165"/>
      <c r="N15" s="1014"/>
      <c r="O15" s="1015"/>
    </row>
    <row r="16" spans="1:20" ht="12.6" customHeight="1">
      <c r="A16" s="28" t="s">
        <v>263</v>
      </c>
      <c r="B16" s="23"/>
      <c r="C16" s="29" t="s">
        <v>114</v>
      </c>
      <c r="D16" s="25" t="s">
        <v>15</v>
      </c>
      <c r="E16" s="165">
        <v>4249765.9800000004</v>
      </c>
      <c r="F16" s="25" t="s">
        <v>15</v>
      </c>
      <c r="G16" s="165">
        <v>2395287.5</v>
      </c>
      <c r="H16" s="25" t="s">
        <v>15</v>
      </c>
      <c r="I16" s="165">
        <f>K16-G16</f>
        <v>2518304.5</v>
      </c>
      <c r="J16" s="25" t="s">
        <v>15</v>
      </c>
      <c r="K16" s="165">
        <v>4913592</v>
      </c>
      <c r="L16" s="25" t="s">
        <v>15</v>
      </c>
      <c r="M16" s="165">
        <v>5312892</v>
      </c>
      <c r="N16" s="1016" t="s">
        <v>15</v>
      </c>
      <c r="O16" s="1017">
        <v>0</v>
      </c>
      <c r="P16" s="1018"/>
    </row>
    <row r="17" spans="1:17" ht="12.6" customHeight="1">
      <c r="A17" s="28" t="s">
        <v>264</v>
      </c>
      <c r="B17" s="23"/>
      <c r="C17" s="29" t="s">
        <v>115</v>
      </c>
      <c r="D17" s="25"/>
      <c r="E17" s="165">
        <v>270392.31</v>
      </c>
      <c r="F17" s="25"/>
      <c r="G17" s="165">
        <v>295835.03999999998</v>
      </c>
      <c r="H17" s="25"/>
      <c r="I17" s="165">
        <f t="shared" ref="I17:I31" si="0">K17-G17</f>
        <v>372228.96</v>
      </c>
      <c r="J17" s="25"/>
      <c r="K17" s="165">
        <v>668064</v>
      </c>
      <c r="L17" s="25"/>
      <c r="M17" s="165">
        <v>668052</v>
      </c>
      <c r="N17" s="1019"/>
      <c r="O17" s="1020">
        <v>0</v>
      </c>
      <c r="P17" s="1018"/>
    </row>
    <row r="18" spans="1:17" ht="12.6" customHeight="1">
      <c r="A18" s="28" t="s">
        <v>265</v>
      </c>
      <c r="B18" s="23"/>
      <c r="C18" s="29"/>
      <c r="D18" s="25"/>
      <c r="E18" s="165"/>
      <c r="F18" s="25"/>
      <c r="G18" s="165"/>
      <c r="H18" s="25"/>
      <c r="I18" s="165"/>
      <c r="J18" s="25"/>
      <c r="K18" s="165"/>
      <c r="L18" s="25"/>
      <c r="M18" s="165"/>
      <c r="N18" s="1019"/>
      <c r="O18" s="1020"/>
      <c r="P18" s="1018"/>
    </row>
    <row r="19" spans="1:17" ht="12.6" customHeight="1">
      <c r="A19" s="28" t="s">
        <v>266</v>
      </c>
      <c r="B19" s="23"/>
      <c r="C19" s="29" t="s">
        <v>116</v>
      </c>
      <c r="D19" s="25"/>
      <c r="E19" s="165">
        <v>381363.87</v>
      </c>
      <c r="F19" s="25"/>
      <c r="G19" s="165">
        <v>229270.56</v>
      </c>
      <c r="H19" s="25"/>
      <c r="I19" s="165">
        <f t="shared" si="0"/>
        <v>250729.44</v>
      </c>
      <c r="J19" s="25"/>
      <c r="K19" s="165">
        <v>480000</v>
      </c>
      <c r="L19" s="25"/>
      <c r="M19" s="165">
        <v>504000</v>
      </c>
      <c r="N19" s="1019"/>
      <c r="O19" s="1020">
        <v>0</v>
      </c>
      <c r="P19" s="1018"/>
    </row>
    <row r="20" spans="1:17" ht="12.6" customHeight="1">
      <c r="A20" s="28" t="s">
        <v>267</v>
      </c>
      <c r="B20" s="23"/>
      <c r="C20" s="29" t="s">
        <v>117</v>
      </c>
      <c r="D20" s="25"/>
      <c r="E20" s="165">
        <v>81000</v>
      </c>
      <c r="F20" s="25"/>
      <c r="G20" s="165">
        <v>40500</v>
      </c>
      <c r="H20" s="25"/>
      <c r="I20" s="165">
        <f t="shared" si="0"/>
        <v>40500</v>
      </c>
      <c r="J20" s="25"/>
      <c r="K20" s="165">
        <v>81000</v>
      </c>
      <c r="L20" s="25"/>
      <c r="M20" s="165">
        <v>81000</v>
      </c>
      <c r="N20" s="1019"/>
      <c r="O20" s="1020">
        <v>0</v>
      </c>
      <c r="P20" s="1018"/>
    </row>
    <row r="21" spans="1:17" ht="12.6" customHeight="1">
      <c r="A21" s="28" t="s">
        <v>268</v>
      </c>
      <c r="B21" s="32"/>
      <c r="C21" s="29" t="s">
        <v>118</v>
      </c>
      <c r="D21" s="25"/>
      <c r="E21" s="165">
        <v>81000</v>
      </c>
      <c r="F21" s="25"/>
      <c r="G21" s="165">
        <v>40500</v>
      </c>
      <c r="H21" s="25"/>
      <c r="I21" s="165">
        <f t="shared" si="0"/>
        <v>40500</v>
      </c>
      <c r="J21" s="25"/>
      <c r="K21" s="165">
        <v>81000</v>
      </c>
      <c r="L21" s="25"/>
      <c r="M21" s="165">
        <v>81000</v>
      </c>
      <c r="N21" s="1019"/>
      <c r="O21" s="1020">
        <v>0</v>
      </c>
      <c r="P21" s="1018" t="s">
        <v>52</v>
      </c>
    </row>
    <row r="22" spans="1:17" ht="12.6" customHeight="1">
      <c r="A22" s="28" t="s">
        <v>269</v>
      </c>
      <c r="B22" s="32"/>
      <c r="C22" s="29" t="s">
        <v>119</v>
      </c>
      <c r="D22" s="25"/>
      <c r="E22" s="165">
        <v>90000</v>
      </c>
      <c r="F22" s="25"/>
      <c r="G22" s="165">
        <v>114000</v>
      </c>
      <c r="H22" s="25"/>
      <c r="I22" s="165">
        <f t="shared" si="0"/>
        <v>6000</v>
      </c>
      <c r="J22" s="25"/>
      <c r="K22" s="165">
        <v>120000</v>
      </c>
      <c r="L22" s="25"/>
      <c r="M22" s="165">
        <v>126000</v>
      </c>
      <c r="N22" s="1019"/>
      <c r="O22" s="1020">
        <v>0</v>
      </c>
      <c r="P22" s="1018"/>
    </row>
    <row r="23" spans="1:17" ht="12.6" customHeight="1">
      <c r="A23" s="28" t="s">
        <v>270</v>
      </c>
      <c r="B23" s="32"/>
      <c r="C23" s="29" t="s">
        <v>120</v>
      </c>
      <c r="D23" s="25"/>
      <c r="E23" s="167">
        <v>80000</v>
      </c>
      <c r="F23" s="25"/>
      <c r="G23" s="167">
        <v>0</v>
      </c>
      <c r="H23" s="25"/>
      <c r="I23" s="165">
        <f t="shared" si="0"/>
        <v>100000</v>
      </c>
      <c r="J23" s="25"/>
      <c r="K23" s="165">
        <v>100000</v>
      </c>
      <c r="L23" s="25"/>
      <c r="M23" s="165">
        <v>105000</v>
      </c>
      <c r="N23" s="1019"/>
      <c r="O23" s="1020">
        <v>0</v>
      </c>
      <c r="P23" s="1018"/>
    </row>
    <row r="24" spans="1:17" ht="12.6" customHeight="1">
      <c r="A24" s="28" t="s">
        <v>271</v>
      </c>
      <c r="B24" s="23"/>
      <c r="C24" s="29" t="s">
        <v>121</v>
      </c>
      <c r="D24" s="25"/>
      <c r="E24" s="167">
        <v>383862.98</v>
      </c>
      <c r="F24" s="25"/>
      <c r="G24" s="167">
        <v>0</v>
      </c>
      <c r="H24" s="25"/>
      <c r="I24" s="165">
        <f t="shared" si="0"/>
        <v>465138</v>
      </c>
      <c r="J24" s="25"/>
      <c r="K24" s="165">
        <v>465138</v>
      </c>
      <c r="L24" s="25"/>
      <c r="M24" s="165">
        <v>498412</v>
      </c>
      <c r="N24" s="1019"/>
      <c r="O24" s="1020">
        <v>0</v>
      </c>
      <c r="P24" s="1018"/>
    </row>
    <row r="25" spans="1:17" ht="12.6" customHeight="1">
      <c r="A25" s="28" t="s">
        <v>278</v>
      </c>
      <c r="B25" s="33"/>
      <c r="C25" s="29" t="s">
        <v>258</v>
      </c>
      <c r="D25" s="25"/>
      <c r="E25" s="165"/>
      <c r="F25" s="25"/>
      <c r="G25" s="165"/>
      <c r="H25" s="25"/>
      <c r="I25" s="165"/>
      <c r="J25" s="25"/>
      <c r="K25" s="165"/>
      <c r="L25" s="25"/>
      <c r="M25" s="165"/>
      <c r="N25" s="1019"/>
      <c r="O25" s="1020"/>
      <c r="Q25" s="1018"/>
    </row>
    <row r="26" spans="1:17" ht="12.6" customHeight="1">
      <c r="A26" s="28" t="s">
        <v>279</v>
      </c>
      <c r="B26" s="33"/>
      <c r="C26" s="29"/>
      <c r="D26" s="25"/>
      <c r="E26" s="165">
        <v>368139.5</v>
      </c>
      <c r="F26" s="25"/>
      <c r="G26" s="165">
        <v>441564.56</v>
      </c>
      <c r="H26" s="25"/>
      <c r="I26" s="165">
        <f t="shared" si="0"/>
        <v>23573.440000000002</v>
      </c>
      <c r="J26" s="25"/>
      <c r="K26" s="165">
        <v>465138</v>
      </c>
      <c r="L26" s="25"/>
      <c r="M26" s="165">
        <v>498412</v>
      </c>
      <c r="N26" s="1019"/>
      <c r="O26" s="1020">
        <v>0</v>
      </c>
      <c r="Q26" s="1018"/>
    </row>
    <row r="27" spans="1:17" ht="12.6" customHeight="1">
      <c r="A27" s="28" t="s">
        <v>280</v>
      </c>
      <c r="B27" s="33"/>
      <c r="C27" s="29"/>
      <c r="D27" s="25"/>
      <c r="E27" s="165">
        <v>0</v>
      </c>
      <c r="F27" s="25"/>
      <c r="G27" s="165">
        <v>48000</v>
      </c>
      <c r="H27" s="25"/>
      <c r="I27" s="165">
        <f t="shared" si="0"/>
        <v>12000</v>
      </c>
      <c r="J27" s="25"/>
      <c r="K27" s="165">
        <v>60000</v>
      </c>
      <c r="L27" s="25"/>
      <c r="M27" s="165">
        <v>0</v>
      </c>
      <c r="N27" s="1019"/>
      <c r="O27" s="1020">
        <v>0</v>
      </c>
      <c r="Q27" s="1018"/>
    </row>
    <row r="28" spans="1:17" ht="12.6" customHeight="1">
      <c r="A28" s="28" t="s">
        <v>272</v>
      </c>
      <c r="B28" s="23"/>
      <c r="C28" s="29" t="s">
        <v>122</v>
      </c>
      <c r="D28" s="25"/>
      <c r="E28" s="165">
        <v>538311.96</v>
      </c>
      <c r="F28" s="25"/>
      <c r="G28" s="165">
        <v>324937.42</v>
      </c>
      <c r="H28" s="25"/>
      <c r="I28" s="165">
        <f t="shared" si="0"/>
        <v>344861.58</v>
      </c>
      <c r="J28" s="25"/>
      <c r="K28" s="165">
        <v>669799</v>
      </c>
      <c r="L28" s="25"/>
      <c r="M28" s="165">
        <v>717714</v>
      </c>
      <c r="N28" s="1019"/>
      <c r="O28" s="1020">
        <v>0</v>
      </c>
      <c r="P28" s="1018"/>
    </row>
    <row r="29" spans="1:17" ht="12.6" customHeight="1">
      <c r="A29" s="28" t="s">
        <v>273</v>
      </c>
      <c r="B29" s="23"/>
      <c r="C29" s="29" t="s">
        <v>123</v>
      </c>
      <c r="D29" s="25"/>
      <c r="E29" s="165">
        <v>89130.72</v>
      </c>
      <c r="F29" s="25"/>
      <c r="G29" s="165">
        <v>17875.419999999998</v>
      </c>
      <c r="H29" s="25"/>
      <c r="I29" s="165">
        <f t="shared" si="0"/>
        <v>93856.58</v>
      </c>
      <c r="J29" s="25"/>
      <c r="K29" s="165">
        <v>111732</v>
      </c>
      <c r="L29" s="25"/>
      <c r="M29" s="165">
        <v>25200</v>
      </c>
      <c r="N29" s="1019"/>
      <c r="O29" s="1020">
        <v>0</v>
      </c>
      <c r="P29" s="1018"/>
    </row>
    <row r="30" spans="1:17" ht="12.6" customHeight="1">
      <c r="A30" s="28" t="s">
        <v>274</v>
      </c>
      <c r="B30" s="23"/>
      <c r="C30" s="29" t="s">
        <v>124</v>
      </c>
      <c r="D30" s="25"/>
      <c r="E30" s="165">
        <v>63680.6</v>
      </c>
      <c r="F30" s="25"/>
      <c r="G30" s="165">
        <v>40676.959999999999</v>
      </c>
      <c r="H30" s="25"/>
      <c r="I30" s="165">
        <f t="shared" si="0"/>
        <v>70839.040000000008</v>
      </c>
      <c r="J30" s="25"/>
      <c r="K30" s="165">
        <v>111516</v>
      </c>
      <c r="L30" s="25"/>
      <c r="M30" s="165">
        <v>134676</v>
      </c>
      <c r="N30" s="1019"/>
      <c r="O30" s="1020">
        <v>0</v>
      </c>
      <c r="P30" s="1018"/>
    </row>
    <row r="31" spans="1:17" ht="12.6" customHeight="1">
      <c r="A31" s="28" t="s">
        <v>275</v>
      </c>
      <c r="B31" s="23"/>
      <c r="C31" s="29" t="s">
        <v>125</v>
      </c>
      <c r="D31" s="25"/>
      <c r="E31" s="165">
        <v>19200</v>
      </c>
      <c r="F31" s="25"/>
      <c r="G31" s="165">
        <v>11800</v>
      </c>
      <c r="H31" s="25"/>
      <c r="I31" s="165">
        <f t="shared" si="0"/>
        <v>12200</v>
      </c>
      <c r="J31" s="25"/>
      <c r="K31" s="165">
        <v>24000</v>
      </c>
      <c r="L31" s="25"/>
      <c r="M31" s="165">
        <v>25200</v>
      </c>
      <c r="N31" s="1019"/>
      <c r="O31" s="1020">
        <v>0</v>
      </c>
      <c r="P31" s="1018"/>
    </row>
    <row r="32" spans="1:17" ht="12.6" customHeight="1">
      <c r="A32" s="28" t="s">
        <v>276</v>
      </c>
      <c r="B32" s="33"/>
      <c r="C32" s="29" t="s">
        <v>161</v>
      </c>
      <c r="D32" s="25"/>
      <c r="E32" s="165"/>
      <c r="F32" s="25"/>
      <c r="G32" s="165"/>
      <c r="H32" s="25"/>
      <c r="I32" s="165"/>
      <c r="J32" s="25"/>
      <c r="K32" s="165"/>
      <c r="L32" s="25"/>
      <c r="M32" s="165"/>
      <c r="N32" s="1019"/>
      <c r="O32" s="1020"/>
      <c r="P32" s="1018"/>
    </row>
    <row r="33" spans="1:17" ht="12.6" customHeight="1">
      <c r="A33" s="28" t="s">
        <v>292</v>
      </c>
      <c r="B33" s="33"/>
      <c r="C33" s="29"/>
      <c r="D33" s="25"/>
      <c r="E33" s="26">
        <v>0</v>
      </c>
      <c r="F33" s="25"/>
      <c r="G33" s="26">
        <v>0</v>
      </c>
      <c r="H33" s="25"/>
      <c r="I33" s="26">
        <f>K33-G33</f>
        <v>0</v>
      </c>
      <c r="J33" s="25"/>
      <c r="K33" s="26">
        <v>0</v>
      </c>
      <c r="L33" s="25"/>
      <c r="M33" s="26">
        <v>293893</v>
      </c>
      <c r="N33" s="1019"/>
      <c r="O33" s="1021">
        <v>0</v>
      </c>
    </row>
    <row r="34" spans="1:17" ht="12.6" customHeight="1">
      <c r="A34" s="28" t="s">
        <v>259</v>
      </c>
      <c r="B34" s="33"/>
      <c r="C34" s="29"/>
      <c r="D34" s="25"/>
      <c r="E34" s="165">
        <v>10000</v>
      </c>
      <c r="F34" s="25"/>
      <c r="G34" s="165">
        <v>0</v>
      </c>
      <c r="H34" s="25"/>
      <c r="I34" s="165">
        <f>K34-G34</f>
        <v>0</v>
      </c>
      <c r="J34" s="25"/>
      <c r="K34" s="165">
        <v>0</v>
      </c>
      <c r="L34" s="25"/>
      <c r="M34" s="165">
        <v>0</v>
      </c>
      <c r="N34" s="1019"/>
      <c r="O34" s="1020">
        <v>0</v>
      </c>
      <c r="Q34" s="1018"/>
    </row>
    <row r="35" spans="1:17" ht="12.6" customHeight="1">
      <c r="A35" s="28" t="s">
        <v>764</v>
      </c>
      <c r="B35" s="33"/>
      <c r="C35" s="29"/>
      <c r="D35" s="25"/>
      <c r="E35" s="165">
        <v>0</v>
      </c>
      <c r="F35" s="25"/>
      <c r="G35" s="165">
        <v>35632.239999999998</v>
      </c>
      <c r="H35" s="25"/>
      <c r="I35" s="165">
        <f>K35-G35</f>
        <v>210946.76</v>
      </c>
      <c r="J35" s="25"/>
      <c r="K35" s="165">
        <v>246579</v>
      </c>
      <c r="L35" s="25"/>
      <c r="M35" s="165">
        <v>0</v>
      </c>
      <c r="N35" s="1019"/>
      <c r="O35" s="1020">
        <v>0</v>
      </c>
      <c r="Q35" s="1018"/>
    </row>
    <row r="36" spans="1:17" ht="12.6" customHeight="1">
      <c r="A36" s="28" t="s">
        <v>260</v>
      </c>
      <c r="B36" s="33"/>
      <c r="C36" s="29"/>
      <c r="D36" s="25"/>
      <c r="E36" s="165">
        <v>80000</v>
      </c>
      <c r="F36" s="30"/>
      <c r="G36" s="165">
        <v>0</v>
      </c>
      <c r="H36" s="30"/>
      <c r="I36" s="165">
        <f>K36-G36</f>
        <v>100000</v>
      </c>
      <c r="J36" s="30"/>
      <c r="K36" s="166">
        <v>100000</v>
      </c>
      <c r="L36" s="30"/>
      <c r="M36" s="166">
        <v>105000</v>
      </c>
      <c r="N36" s="1019"/>
      <c r="O36" s="1020">
        <v>0</v>
      </c>
      <c r="Q36" s="1018"/>
    </row>
    <row r="37" spans="1:17" ht="12" customHeight="1">
      <c r="A37" s="1345" t="s">
        <v>14</v>
      </c>
      <c r="B37" s="1346"/>
      <c r="C37" s="178"/>
      <c r="D37" s="179" t="s">
        <v>15</v>
      </c>
      <c r="E37" s="180">
        <f>SUM(E16:E36)</f>
        <v>6785847.9199999999</v>
      </c>
      <c r="F37" s="179" t="s">
        <v>15</v>
      </c>
      <c r="G37" s="180">
        <f>SUM(G16:G36)</f>
        <v>4035879.7</v>
      </c>
      <c r="H37" s="179" t="s">
        <v>15</v>
      </c>
      <c r="I37" s="180">
        <f>SUM(I16:I36)</f>
        <v>4661678.3</v>
      </c>
      <c r="J37" s="179" t="s">
        <v>15</v>
      </c>
      <c r="K37" s="180">
        <f>SUM(K16:K36)</f>
        <v>8697558</v>
      </c>
      <c r="L37" s="35" t="s">
        <v>15</v>
      </c>
      <c r="M37" s="168">
        <f>SUM(M16:M36)</f>
        <v>9176451</v>
      </c>
      <c r="N37" s="1022" t="s">
        <v>15</v>
      </c>
      <c r="O37" s="1023">
        <f>SUM(O16:O36)</f>
        <v>0</v>
      </c>
      <c r="P37" s="1018"/>
    </row>
    <row r="38" spans="1:17" ht="3" customHeight="1">
      <c r="A38" s="169"/>
      <c r="B38" s="56"/>
      <c r="C38" s="29"/>
      <c r="D38" s="67"/>
      <c r="E38" s="170"/>
      <c r="F38" s="171"/>
      <c r="G38" s="170"/>
      <c r="H38" s="171"/>
      <c r="I38" s="170"/>
      <c r="J38" s="171"/>
      <c r="K38" s="170"/>
      <c r="L38" s="171"/>
      <c r="M38" s="170"/>
      <c r="N38" s="1024"/>
      <c r="O38" s="1025"/>
      <c r="P38" s="1018"/>
    </row>
    <row r="39" spans="1:17" ht="9.75" customHeight="1">
      <c r="A39" s="22" t="s">
        <v>282</v>
      </c>
      <c r="B39" s="23"/>
      <c r="C39" s="29"/>
      <c r="D39" s="40"/>
      <c r="E39" s="165"/>
      <c r="F39" s="40"/>
      <c r="G39" s="165"/>
      <c r="H39" s="40"/>
      <c r="I39" s="165"/>
      <c r="J39" s="40"/>
      <c r="K39" s="165"/>
      <c r="L39" s="40"/>
      <c r="M39" s="165"/>
      <c r="N39" s="1026"/>
      <c r="O39" s="1015"/>
    </row>
    <row r="40" spans="1:17" ht="12.6" customHeight="1">
      <c r="A40" s="28" t="s">
        <v>41</v>
      </c>
      <c r="B40" s="23"/>
      <c r="C40" s="29" t="s">
        <v>126</v>
      </c>
      <c r="D40" s="25" t="s">
        <v>15</v>
      </c>
      <c r="E40" s="165">
        <v>152680</v>
      </c>
      <c r="F40" s="25" t="s">
        <v>15</v>
      </c>
      <c r="G40" s="165">
        <v>154725.47</v>
      </c>
      <c r="H40" s="25" t="s">
        <v>15</v>
      </c>
      <c r="I40" s="165">
        <f>K40-G40</f>
        <v>892874.53</v>
      </c>
      <c r="J40" s="25" t="s">
        <v>15</v>
      </c>
      <c r="K40" s="165">
        <v>1047600</v>
      </c>
      <c r="L40" s="25" t="s">
        <v>15</v>
      </c>
      <c r="M40" s="165">
        <v>781888</v>
      </c>
      <c r="N40" s="1016" t="s">
        <v>15</v>
      </c>
      <c r="O40" s="1017">
        <f>M40-K40</f>
        <v>-265712</v>
      </c>
      <c r="P40" s="1018">
        <f>O40-K40</f>
        <v>-1313312</v>
      </c>
      <c r="Q40" s="1018">
        <f>K40*0.1</f>
        <v>104760</v>
      </c>
    </row>
    <row r="41" spans="1:17" ht="12.6" customHeight="1">
      <c r="A41" s="28" t="s">
        <v>42</v>
      </c>
      <c r="B41" s="23"/>
      <c r="C41" s="29" t="s">
        <v>127</v>
      </c>
      <c r="D41" s="25"/>
      <c r="E41" s="165">
        <v>16000</v>
      </c>
      <c r="F41" s="25"/>
      <c r="G41" s="165">
        <v>83500</v>
      </c>
      <c r="H41" s="25"/>
      <c r="I41" s="165">
        <f>K41-G41</f>
        <v>609500</v>
      </c>
      <c r="J41" s="25"/>
      <c r="K41" s="165">
        <v>693000</v>
      </c>
      <c r="L41" s="25"/>
      <c r="M41" s="165">
        <v>492722</v>
      </c>
      <c r="N41" s="1019"/>
      <c r="O41" s="1017">
        <f t="shared" ref="O41:O55" si="1">M41-K41</f>
        <v>-200278</v>
      </c>
      <c r="P41" s="1018">
        <f t="shared" ref="P41:P57" si="2">O41-K41</f>
        <v>-893278</v>
      </c>
      <c r="Q41" s="1018">
        <f t="shared" ref="Q41:Q57" si="3">K41*0.1</f>
        <v>69300</v>
      </c>
    </row>
    <row r="42" spans="1:17" ht="12.6" customHeight="1">
      <c r="A42" s="28" t="s">
        <v>28</v>
      </c>
      <c r="B42" s="23"/>
      <c r="C42" s="29" t="s">
        <v>128</v>
      </c>
      <c r="D42" s="40"/>
      <c r="E42" s="165">
        <v>139102</v>
      </c>
      <c r="F42" s="40"/>
      <c r="G42" s="165">
        <v>52936</v>
      </c>
      <c r="H42" s="40"/>
      <c r="I42" s="165">
        <f>K42-G42</f>
        <v>347064</v>
      </c>
      <c r="J42" s="40"/>
      <c r="K42" s="165">
        <v>400000</v>
      </c>
      <c r="L42" s="25"/>
      <c r="M42" s="165">
        <v>342120</v>
      </c>
      <c r="N42" s="1019"/>
      <c r="O42" s="1017">
        <f t="shared" si="1"/>
        <v>-57880</v>
      </c>
      <c r="P42" s="1018">
        <f t="shared" si="2"/>
        <v>-457880</v>
      </c>
      <c r="Q42" s="1018">
        <f t="shared" si="3"/>
        <v>40000</v>
      </c>
    </row>
    <row r="43" spans="1:17" ht="12.6" customHeight="1">
      <c r="A43" s="28" t="s">
        <v>130</v>
      </c>
      <c r="B43" s="23"/>
      <c r="C43" s="29" t="s">
        <v>129</v>
      </c>
      <c r="D43" s="25"/>
      <c r="E43" s="165">
        <v>27425.67</v>
      </c>
      <c r="F43" s="25"/>
      <c r="G43" s="165">
        <v>13471.49</v>
      </c>
      <c r="H43" s="25"/>
      <c r="I43" s="165">
        <f t="shared" ref="I43:I57" si="4">K43-G43</f>
        <v>96528.51</v>
      </c>
      <c r="J43" s="25"/>
      <c r="K43" s="165">
        <v>110000</v>
      </c>
      <c r="L43" s="25"/>
      <c r="M43" s="165">
        <v>111435</v>
      </c>
      <c r="N43" s="1019"/>
      <c r="O43" s="1017">
        <f t="shared" si="1"/>
        <v>1435</v>
      </c>
      <c r="P43" s="1018">
        <f t="shared" si="2"/>
        <v>-108565</v>
      </c>
      <c r="Q43" s="1018">
        <f t="shared" si="3"/>
        <v>11000</v>
      </c>
    </row>
    <row r="44" spans="1:17" ht="12.6" customHeight="1">
      <c r="A44" s="28" t="s">
        <v>497</v>
      </c>
      <c r="B44" s="23"/>
      <c r="C44" s="29" t="s">
        <v>174</v>
      </c>
      <c r="D44" s="40"/>
      <c r="E44" s="165">
        <v>610400</v>
      </c>
      <c r="F44" s="40"/>
      <c r="G44" s="165">
        <v>41345.32</v>
      </c>
      <c r="H44" s="40"/>
      <c r="I44" s="165">
        <f t="shared" si="4"/>
        <v>232654.68</v>
      </c>
      <c r="J44" s="40"/>
      <c r="K44" s="165">
        <v>274000</v>
      </c>
      <c r="L44" s="25"/>
      <c r="M44" s="165">
        <v>100000</v>
      </c>
      <c r="N44" s="1019"/>
      <c r="O44" s="1017">
        <f t="shared" si="1"/>
        <v>-174000</v>
      </c>
      <c r="P44" s="1018">
        <f t="shared" si="2"/>
        <v>-448000</v>
      </c>
      <c r="Q44" s="1018">
        <f t="shared" si="3"/>
        <v>27400</v>
      </c>
    </row>
    <row r="45" spans="1:17" ht="12.6" customHeight="1">
      <c r="A45" s="28" t="s">
        <v>132</v>
      </c>
      <c r="B45" s="23"/>
      <c r="C45" s="29" t="s">
        <v>131</v>
      </c>
      <c r="D45" s="25"/>
      <c r="E45" s="165">
        <v>1340</v>
      </c>
      <c r="F45" s="25"/>
      <c r="G45" s="165">
        <v>560</v>
      </c>
      <c r="H45" s="25"/>
      <c r="I45" s="165">
        <f>K45-G45</f>
        <v>7440</v>
      </c>
      <c r="J45" s="25"/>
      <c r="K45" s="165">
        <v>8000</v>
      </c>
      <c r="L45" s="25"/>
      <c r="M45" s="165">
        <v>6842</v>
      </c>
      <c r="N45" s="1019"/>
      <c r="O45" s="1017">
        <f t="shared" si="1"/>
        <v>-1158</v>
      </c>
      <c r="P45" s="1018">
        <f t="shared" si="2"/>
        <v>-9158</v>
      </c>
      <c r="Q45" s="1018">
        <f t="shared" si="3"/>
        <v>800</v>
      </c>
    </row>
    <row r="46" spans="1:17" ht="12.6" customHeight="1">
      <c r="A46" s="28" t="s">
        <v>163</v>
      </c>
      <c r="B46" s="23"/>
      <c r="C46" s="48" t="s">
        <v>133</v>
      </c>
      <c r="D46" s="25"/>
      <c r="E46" s="165">
        <v>25530.49</v>
      </c>
      <c r="F46" s="25"/>
      <c r="G46" s="165">
        <v>7500</v>
      </c>
      <c r="H46" s="25"/>
      <c r="I46" s="165">
        <f>K46-G46</f>
        <v>32500</v>
      </c>
      <c r="J46" s="25"/>
      <c r="K46" s="165">
        <v>40000</v>
      </c>
      <c r="L46" s="25"/>
      <c r="M46" s="165">
        <v>40000</v>
      </c>
      <c r="N46" s="1019"/>
      <c r="O46" s="1017">
        <f t="shared" si="1"/>
        <v>0</v>
      </c>
      <c r="P46" s="1018">
        <f t="shared" si="2"/>
        <v>-40000</v>
      </c>
      <c r="Q46" s="1018">
        <f t="shared" si="3"/>
        <v>4000</v>
      </c>
    </row>
    <row r="47" spans="1:17" ht="12.6" customHeight="1">
      <c r="A47" s="28" t="s">
        <v>232</v>
      </c>
      <c r="B47" s="23"/>
      <c r="C47" s="48" t="s">
        <v>134</v>
      </c>
      <c r="D47" s="25"/>
      <c r="E47" s="165">
        <v>34788</v>
      </c>
      <c r="F47" s="25"/>
      <c r="G47" s="165">
        <v>8697</v>
      </c>
      <c r="H47" s="25"/>
      <c r="I47" s="165">
        <f>K47-G47</f>
        <v>27303</v>
      </c>
      <c r="J47" s="25"/>
      <c r="K47" s="165">
        <v>36000</v>
      </c>
      <c r="L47" s="25"/>
      <c r="M47" s="165">
        <v>36000</v>
      </c>
      <c r="N47" s="1019"/>
      <c r="O47" s="1017">
        <f t="shared" si="1"/>
        <v>0</v>
      </c>
      <c r="P47" s="1018">
        <f t="shared" si="2"/>
        <v>-36000</v>
      </c>
      <c r="Q47" s="1018">
        <f t="shared" si="3"/>
        <v>3600</v>
      </c>
    </row>
    <row r="48" spans="1:17" ht="12.6" customHeight="1">
      <c r="A48" s="28" t="s">
        <v>43</v>
      </c>
      <c r="B48" s="23"/>
      <c r="C48" s="48" t="s">
        <v>136</v>
      </c>
      <c r="D48" s="25"/>
      <c r="E48" s="165">
        <v>0</v>
      </c>
      <c r="F48" s="25"/>
      <c r="G48" s="165">
        <v>0</v>
      </c>
      <c r="H48" s="25"/>
      <c r="I48" s="165">
        <f t="shared" si="4"/>
        <v>300000</v>
      </c>
      <c r="J48" s="25"/>
      <c r="K48" s="165">
        <v>300000</v>
      </c>
      <c r="L48" s="25"/>
      <c r="M48" s="165">
        <v>200153</v>
      </c>
      <c r="N48" s="1019"/>
      <c r="O48" s="1017">
        <f t="shared" si="1"/>
        <v>-99847</v>
      </c>
      <c r="P48" s="1018">
        <f t="shared" si="2"/>
        <v>-399847</v>
      </c>
      <c r="Q48" s="1018">
        <f t="shared" si="3"/>
        <v>30000</v>
      </c>
    </row>
    <row r="49" spans="1:18" ht="12.6" customHeight="1">
      <c r="A49" s="28" t="s">
        <v>138</v>
      </c>
      <c r="B49" s="23"/>
      <c r="C49" s="48" t="s">
        <v>137</v>
      </c>
      <c r="D49" s="25"/>
      <c r="E49" s="165">
        <v>13809</v>
      </c>
      <c r="F49" s="25"/>
      <c r="G49" s="165">
        <v>0</v>
      </c>
      <c r="H49" s="25"/>
      <c r="I49" s="165">
        <f t="shared" si="4"/>
        <v>30000</v>
      </c>
      <c r="J49" s="25"/>
      <c r="K49" s="165">
        <v>30000</v>
      </c>
      <c r="L49" s="25"/>
      <c r="M49" s="165">
        <v>25659</v>
      </c>
      <c r="N49" s="1019"/>
      <c r="O49" s="1017">
        <f t="shared" si="1"/>
        <v>-4341</v>
      </c>
      <c r="P49" s="1018">
        <f t="shared" si="2"/>
        <v>-34341</v>
      </c>
      <c r="Q49" s="1018">
        <f t="shared" si="3"/>
        <v>3000</v>
      </c>
    </row>
    <row r="50" spans="1:18" ht="12.6" customHeight="1">
      <c r="A50" s="28" t="s">
        <v>37</v>
      </c>
      <c r="B50" s="23"/>
      <c r="C50" s="48" t="s">
        <v>139</v>
      </c>
      <c r="D50" s="25"/>
      <c r="E50" s="165">
        <v>8760.4599999999991</v>
      </c>
      <c r="F50" s="25"/>
      <c r="G50" s="165">
        <v>6340</v>
      </c>
      <c r="H50" s="25"/>
      <c r="I50" s="165">
        <f t="shared" si="4"/>
        <v>43660</v>
      </c>
      <c r="J50" s="25"/>
      <c r="K50" s="165">
        <v>50000</v>
      </c>
      <c r="L50" s="25"/>
      <c r="M50" s="165">
        <v>42765</v>
      </c>
      <c r="N50" s="1019"/>
      <c r="O50" s="1017">
        <f t="shared" si="1"/>
        <v>-7235</v>
      </c>
      <c r="P50" s="1018">
        <f t="shared" si="2"/>
        <v>-57235</v>
      </c>
      <c r="Q50" s="1018">
        <f t="shared" si="3"/>
        <v>5000</v>
      </c>
    </row>
    <row r="51" spans="1:18" ht="12.6" customHeight="1">
      <c r="A51" s="28" t="s">
        <v>256</v>
      </c>
      <c r="B51" s="23"/>
      <c r="C51" s="48" t="s">
        <v>141</v>
      </c>
      <c r="D51" s="25"/>
      <c r="E51" s="165">
        <v>8000</v>
      </c>
      <c r="F51" s="25"/>
      <c r="G51" s="165">
        <v>0</v>
      </c>
      <c r="H51" s="25"/>
      <c r="I51" s="165">
        <f t="shared" si="4"/>
        <v>50000</v>
      </c>
      <c r="J51" s="25"/>
      <c r="K51" s="165">
        <v>50000</v>
      </c>
      <c r="L51" s="25"/>
      <c r="M51" s="165">
        <v>32765</v>
      </c>
      <c r="N51" s="1019"/>
      <c r="O51" s="1017">
        <f t="shared" si="1"/>
        <v>-17235</v>
      </c>
      <c r="P51" s="1018">
        <f t="shared" si="2"/>
        <v>-67235</v>
      </c>
      <c r="Q51" s="1018">
        <f t="shared" si="3"/>
        <v>5000</v>
      </c>
    </row>
    <row r="52" spans="1:18" ht="12.6" customHeight="1">
      <c r="A52" s="28" t="s">
        <v>145</v>
      </c>
      <c r="B52" s="23"/>
      <c r="C52" s="48" t="s">
        <v>144</v>
      </c>
      <c r="D52" s="25"/>
      <c r="E52" s="165">
        <v>8545</v>
      </c>
      <c r="F52" s="25"/>
      <c r="G52" s="165">
        <v>0</v>
      </c>
      <c r="H52" s="25"/>
      <c r="I52" s="165">
        <f t="shared" si="4"/>
        <v>50000</v>
      </c>
      <c r="J52" s="25"/>
      <c r="K52" s="165">
        <v>50000</v>
      </c>
      <c r="L52" s="25"/>
      <c r="M52" s="165">
        <v>42765</v>
      </c>
      <c r="N52" s="1019"/>
      <c r="O52" s="1017">
        <f t="shared" si="1"/>
        <v>-7235</v>
      </c>
      <c r="P52" s="1018">
        <f t="shared" si="2"/>
        <v>-57235</v>
      </c>
      <c r="Q52" s="1018">
        <f t="shared" si="3"/>
        <v>5000</v>
      </c>
    </row>
    <row r="53" spans="1:18" ht="12.6" customHeight="1">
      <c r="A53" s="28" t="s">
        <v>33</v>
      </c>
      <c r="B53" s="56"/>
      <c r="C53" s="29" t="s">
        <v>148</v>
      </c>
      <c r="D53" s="25"/>
      <c r="E53" s="165"/>
      <c r="F53" s="25"/>
      <c r="G53" s="165"/>
      <c r="H53" s="25"/>
      <c r="I53" s="165">
        <f t="shared" si="4"/>
        <v>0</v>
      </c>
      <c r="J53" s="25"/>
      <c r="K53" s="165">
        <v>0</v>
      </c>
      <c r="L53" s="25"/>
      <c r="M53" s="165"/>
      <c r="N53" s="1019"/>
      <c r="O53" s="1020">
        <v>0</v>
      </c>
      <c r="P53" s="1018">
        <f t="shared" si="2"/>
        <v>0</v>
      </c>
      <c r="Q53" s="1018">
        <f t="shared" si="3"/>
        <v>0</v>
      </c>
    </row>
    <row r="54" spans="1:18" ht="12.6" customHeight="1">
      <c r="A54" s="28"/>
      <c r="B54" s="26" t="s">
        <v>342</v>
      </c>
      <c r="C54" s="29"/>
      <c r="D54" s="25"/>
      <c r="E54" s="165">
        <v>2336147.94</v>
      </c>
      <c r="F54" s="25"/>
      <c r="G54" s="165">
        <v>1034228.83</v>
      </c>
      <c r="H54" s="25"/>
      <c r="I54" s="165">
        <f>K54-G54</f>
        <v>1613771.17</v>
      </c>
      <c r="J54" s="25"/>
      <c r="K54" s="165">
        <v>2648000</v>
      </c>
      <c r="L54" s="25"/>
      <c r="M54" s="165">
        <v>2678000</v>
      </c>
      <c r="N54" s="1019"/>
      <c r="O54" s="1017">
        <f t="shared" si="1"/>
        <v>30000</v>
      </c>
      <c r="P54" s="1018">
        <f t="shared" si="2"/>
        <v>-2618000</v>
      </c>
      <c r="Q54" s="1018">
        <f t="shared" si="3"/>
        <v>264800</v>
      </c>
    </row>
    <row r="55" spans="1:18" ht="12.6" customHeight="1">
      <c r="A55" s="28"/>
      <c r="B55" s="26" t="s">
        <v>69</v>
      </c>
      <c r="C55" s="29"/>
      <c r="D55" s="25"/>
      <c r="E55" s="165">
        <v>0</v>
      </c>
      <c r="F55" s="25"/>
      <c r="G55" s="165">
        <v>0</v>
      </c>
      <c r="H55" s="25"/>
      <c r="I55" s="165">
        <f t="shared" si="4"/>
        <v>30000</v>
      </c>
      <c r="J55" s="25"/>
      <c r="K55" s="165">
        <v>30000</v>
      </c>
      <c r="L55" s="25"/>
      <c r="M55" s="165">
        <v>25659</v>
      </c>
      <c r="N55" s="1019"/>
      <c r="O55" s="1017">
        <f t="shared" si="1"/>
        <v>-4341</v>
      </c>
      <c r="P55" s="1018">
        <f t="shared" si="2"/>
        <v>-34341</v>
      </c>
      <c r="Q55" s="1018">
        <f t="shared" si="3"/>
        <v>3000</v>
      </c>
    </row>
    <row r="56" spans="1:18" s="86" customFormat="1" ht="13.5">
      <c r="A56" s="101"/>
      <c r="B56" s="26" t="s">
        <v>744</v>
      </c>
      <c r="C56" s="29"/>
      <c r="D56" s="25"/>
      <c r="E56" s="165">
        <v>4115</v>
      </c>
      <c r="F56" s="25"/>
      <c r="G56" s="165">
        <v>13800</v>
      </c>
      <c r="H56" s="25"/>
      <c r="I56" s="165">
        <f t="shared" si="4"/>
        <v>6200</v>
      </c>
      <c r="J56" s="68"/>
      <c r="K56" s="165">
        <v>20000</v>
      </c>
      <c r="L56" s="25"/>
      <c r="M56" s="165">
        <v>20000</v>
      </c>
      <c r="N56" s="1019"/>
      <c r="O56" s="1017">
        <f t="shared" ref="O56:O57" si="5">M56-K56</f>
        <v>0</v>
      </c>
      <c r="P56" s="963"/>
      <c r="Q56" s="963"/>
      <c r="R56" s="103"/>
    </row>
    <row r="57" spans="1:18" ht="12.6" customHeight="1">
      <c r="A57" s="28"/>
      <c r="B57" s="26" t="s">
        <v>498</v>
      </c>
      <c r="C57" s="29"/>
      <c r="D57" s="25"/>
      <c r="E57" s="165">
        <v>780</v>
      </c>
      <c r="F57" s="30"/>
      <c r="G57" s="165">
        <v>0</v>
      </c>
      <c r="H57" s="30"/>
      <c r="I57" s="166">
        <f t="shared" si="4"/>
        <v>3500</v>
      </c>
      <c r="J57" s="30"/>
      <c r="K57" s="166">
        <v>3500</v>
      </c>
      <c r="L57" s="30"/>
      <c r="M57" s="166">
        <v>3500</v>
      </c>
      <c r="N57" s="1019"/>
      <c r="O57" s="1017">
        <f t="shared" si="5"/>
        <v>0</v>
      </c>
      <c r="P57" s="1018">
        <f t="shared" si="2"/>
        <v>-3500</v>
      </c>
      <c r="Q57" s="1018">
        <f t="shared" si="3"/>
        <v>350</v>
      </c>
    </row>
    <row r="58" spans="1:18" ht="12.6" customHeight="1">
      <c r="A58" s="1251" t="s">
        <v>13</v>
      </c>
      <c r="B58" s="1253"/>
      <c r="C58" s="29"/>
      <c r="D58" s="35" t="s">
        <v>15</v>
      </c>
      <c r="E58" s="168">
        <f>SUM(E40:E57)</f>
        <v>3387423.5599999996</v>
      </c>
      <c r="F58" s="35" t="s">
        <v>15</v>
      </c>
      <c r="G58" s="168">
        <f>SUM(G40:G57)</f>
        <v>1417104.1099999999</v>
      </c>
      <c r="H58" s="35" t="s">
        <v>15</v>
      </c>
      <c r="I58" s="168">
        <f>SUM(I40:I57)</f>
        <v>4372995.8900000006</v>
      </c>
      <c r="J58" s="35" t="s">
        <v>15</v>
      </c>
      <c r="K58" s="168">
        <f>SUM(K40:K57)</f>
        <v>5790100</v>
      </c>
      <c r="L58" s="35" t="s">
        <v>15</v>
      </c>
      <c r="M58" s="168">
        <f>SUM(M40:M57)</f>
        <v>4982273</v>
      </c>
      <c r="N58" s="1022" t="s">
        <v>15</v>
      </c>
      <c r="O58" s="1023">
        <f>SUM(O40:O57)</f>
        <v>-807827</v>
      </c>
      <c r="P58" s="1023">
        <f>O58-K58</f>
        <v>-6597927</v>
      </c>
    </row>
    <row r="59" spans="1:18" ht="12.6" customHeight="1">
      <c r="A59" s="81" t="s">
        <v>283</v>
      </c>
      <c r="B59" s="56"/>
      <c r="C59" s="29"/>
      <c r="D59" s="67"/>
      <c r="E59" s="170"/>
      <c r="F59" s="67"/>
      <c r="G59" s="170"/>
      <c r="H59" s="67"/>
      <c r="I59" s="170"/>
      <c r="J59" s="67"/>
      <c r="K59" s="170"/>
      <c r="L59" s="67"/>
      <c r="M59" s="170"/>
      <c r="N59" s="1027"/>
      <c r="O59" s="1025"/>
    </row>
    <row r="60" spans="1:18" ht="12.6" customHeight="1">
      <c r="A60" s="68" t="s">
        <v>51</v>
      </c>
      <c r="B60" s="56"/>
      <c r="C60" s="29" t="s">
        <v>149</v>
      </c>
      <c r="D60" s="25" t="s">
        <v>15</v>
      </c>
      <c r="E60" s="165"/>
      <c r="F60" s="25" t="s">
        <v>15</v>
      </c>
      <c r="G60" s="165"/>
      <c r="H60" s="25" t="s">
        <v>15</v>
      </c>
      <c r="I60" s="165"/>
      <c r="J60" s="25" t="s">
        <v>15</v>
      </c>
      <c r="K60" s="165"/>
      <c r="L60" s="25" t="s">
        <v>15</v>
      </c>
      <c r="M60" s="165"/>
      <c r="N60" s="1014" t="s">
        <v>15</v>
      </c>
      <c r="O60" s="1015"/>
    </row>
    <row r="61" spans="1:18" ht="12.6" customHeight="1">
      <c r="A61" s="68" t="s">
        <v>1157</v>
      </c>
      <c r="B61" s="875"/>
      <c r="C61" s="29"/>
      <c r="D61" s="25"/>
      <c r="E61" s="165">
        <v>0</v>
      </c>
      <c r="F61" s="25"/>
      <c r="G61" s="165">
        <v>0</v>
      </c>
      <c r="H61" s="25"/>
      <c r="I61" s="165">
        <f t="shared" ref="I61:I63" si="6">K61-G61</f>
        <v>30000</v>
      </c>
      <c r="J61" s="25"/>
      <c r="K61" s="165">
        <v>30000</v>
      </c>
      <c r="L61" s="25"/>
      <c r="M61" s="165">
        <v>0</v>
      </c>
      <c r="N61" s="1019"/>
      <c r="O61" s="1020">
        <v>0</v>
      </c>
    </row>
    <row r="62" spans="1:18" ht="12.6" customHeight="1">
      <c r="A62" s="68" t="s">
        <v>1156</v>
      </c>
      <c r="B62" s="875"/>
      <c r="C62" s="29"/>
      <c r="D62" s="25"/>
      <c r="E62" s="165">
        <v>0</v>
      </c>
      <c r="F62" s="25"/>
      <c r="G62" s="165">
        <v>0</v>
      </c>
      <c r="H62" s="25"/>
      <c r="I62" s="165">
        <f t="shared" si="6"/>
        <v>20000</v>
      </c>
      <c r="J62" s="25"/>
      <c r="K62" s="165">
        <v>20000</v>
      </c>
      <c r="L62" s="25"/>
      <c r="M62" s="165">
        <v>0</v>
      </c>
      <c r="N62" s="1019"/>
      <c r="O62" s="1020">
        <v>0</v>
      </c>
    </row>
    <row r="63" spans="1:18" ht="12.6" customHeight="1">
      <c r="A63" s="68" t="s">
        <v>1114</v>
      </c>
      <c r="B63" s="875"/>
      <c r="C63" s="29"/>
      <c r="D63" s="25"/>
      <c r="E63" s="165">
        <v>0</v>
      </c>
      <c r="F63" s="25"/>
      <c r="G63" s="165"/>
      <c r="H63" s="25"/>
      <c r="I63" s="165">
        <f t="shared" si="6"/>
        <v>240000</v>
      </c>
      <c r="J63" s="25"/>
      <c r="K63" s="165">
        <v>240000</v>
      </c>
      <c r="L63" s="25"/>
      <c r="M63" s="165">
        <v>0</v>
      </c>
      <c r="N63" s="1019"/>
      <c r="O63" s="1020">
        <v>0</v>
      </c>
    </row>
    <row r="64" spans="1:18" ht="12.6" customHeight="1">
      <c r="A64" s="68" t="s">
        <v>1321</v>
      </c>
      <c r="B64" s="517"/>
      <c r="C64" s="29"/>
      <c r="D64" s="25"/>
      <c r="E64" s="165">
        <v>55900</v>
      </c>
      <c r="F64" s="25"/>
      <c r="G64" s="165">
        <v>0</v>
      </c>
      <c r="H64" s="25"/>
      <c r="I64" s="165">
        <f t="shared" ref="I64:I67" si="7">K64-G64</f>
        <v>0</v>
      </c>
      <c r="J64" s="25"/>
      <c r="K64" s="165">
        <v>0</v>
      </c>
      <c r="L64" s="25"/>
      <c r="M64" s="165">
        <v>0</v>
      </c>
      <c r="N64" s="1019"/>
      <c r="O64" s="1020">
        <v>0</v>
      </c>
    </row>
    <row r="65" spans="1:22" ht="12.6" customHeight="1">
      <c r="A65" s="68" t="s">
        <v>1322</v>
      </c>
      <c r="B65" s="517"/>
      <c r="C65" s="29"/>
      <c r="D65" s="25"/>
      <c r="E65" s="165">
        <v>95000</v>
      </c>
      <c r="F65" s="25"/>
      <c r="G65" s="165">
        <v>0</v>
      </c>
      <c r="H65" s="25"/>
      <c r="I65" s="165">
        <f t="shared" si="7"/>
        <v>0</v>
      </c>
      <c r="J65" s="25"/>
      <c r="K65" s="165">
        <v>0</v>
      </c>
      <c r="L65" s="25"/>
      <c r="M65" s="165">
        <v>0</v>
      </c>
      <c r="N65" s="1019"/>
      <c r="O65" s="1020">
        <v>0</v>
      </c>
    </row>
    <row r="66" spans="1:22" ht="12.6" customHeight="1">
      <c r="A66" s="68" t="s">
        <v>152</v>
      </c>
      <c r="B66" s="787"/>
      <c r="C66" s="29" t="s">
        <v>150</v>
      </c>
      <c r="D66" s="25"/>
      <c r="E66" s="165"/>
      <c r="F66" s="25"/>
      <c r="G66" s="165"/>
      <c r="H66" s="25"/>
      <c r="I66" s="165"/>
      <c r="J66" s="25"/>
      <c r="K66" s="165"/>
      <c r="L66" s="25"/>
      <c r="M66" s="165"/>
      <c r="N66" s="1019"/>
      <c r="O66" s="1020"/>
    </row>
    <row r="67" spans="1:22" ht="12.6" customHeight="1">
      <c r="A67" s="68" t="s">
        <v>1091</v>
      </c>
      <c r="B67" s="851"/>
      <c r="C67" s="29"/>
      <c r="D67" s="25"/>
      <c r="E67" s="165"/>
      <c r="F67" s="25"/>
      <c r="G67" s="165">
        <v>0</v>
      </c>
      <c r="H67" s="25"/>
      <c r="I67" s="165">
        <f t="shared" si="7"/>
        <v>20000</v>
      </c>
      <c r="J67" s="25"/>
      <c r="K67" s="165">
        <v>20000</v>
      </c>
      <c r="L67" s="25"/>
      <c r="M67" s="165">
        <v>0</v>
      </c>
      <c r="N67" s="1019"/>
      <c r="O67" s="1020">
        <v>0</v>
      </c>
    </row>
    <row r="68" spans="1:22" ht="12.6" customHeight="1">
      <c r="A68" s="68" t="s">
        <v>409</v>
      </c>
      <c r="B68" s="851"/>
      <c r="C68" s="29" t="s">
        <v>151</v>
      </c>
      <c r="D68" s="71"/>
      <c r="E68" s="165"/>
      <c r="F68" s="71"/>
      <c r="G68" s="165"/>
      <c r="H68" s="71"/>
      <c r="I68" s="165"/>
      <c r="J68" s="71"/>
      <c r="K68" s="165"/>
      <c r="L68" s="71"/>
      <c r="M68" s="165"/>
      <c r="N68" s="1022"/>
      <c r="O68" s="1020"/>
    </row>
    <row r="69" spans="1:22" ht="12.6" customHeight="1">
      <c r="A69" s="411" t="s">
        <v>866</v>
      </c>
      <c r="B69" s="881"/>
      <c r="C69" s="34"/>
      <c r="D69" s="66"/>
      <c r="E69" s="166">
        <v>190080</v>
      </c>
      <c r="F69" s="66"/>
      <c r="G69" s="166">
        <v>0</v>
      </c>
      <c r="H69" s="66"/>
      <c r="I69" s="166">
        <f>K69-G69</f>
        <v>0</v>
      </c>
      <c r="J69" s="66"/>
      <c r="K69" s="166">
        <v>0</v>
      </c>
      <c r="L69" s="66"/>
      <c r="M69" s="166">
        <v>0</v>
      </c>
      <c r="N69" s="1022"/>
      <c r="O69" s="1020">
        <v>0</v>
      </c>
    </row>
    <row r="70" spans="1:22" ht="12.6" customHeight="1">
      <c r="A70" s="68" t="s">
        <v>334</v>
      </c>
      <c r="B70" s="880"/>
      <c r="C70" s="29" t="s">
        <v>335</v>
      </c>
      <c r="D70" s="25"/>
      <c r="E70" s="165"/>
      <c r="F70" s="25"/>
      <c r="G70" s="165"/>
      <c r="H70" s="25"/>
      <c r="I70" s="165"/>
      <c r="J70" s="25"/>
      <c r="K70" s="165"/>
      <c r="L70" s="25"/>
      <c r="M70" s="165"/>
      <c r="N70" s="1019"/>
      <c r="O70" s="1020"/>
    </row>
    <row r="71" spans="1:22" ht="12.6" customHeight="1">
      <c r="A71" s="68" t="s">
        <v>50</v>
      </c>
      <c r="B71" s="875"/>
      <c r="C71" s="29" t="s">
        <v>156</v>
      </c>
      <c r="D71" s="71"/>
      <c r="E71" s="165"/>
      <c r="F71" s="71"/>
      <c r="G71" s="165"/>
      <c r="H71" s="71"/>
      <c r="I71" s="165"/>
      <c r="J71" s="81"/>
      <c r="K71" s="165"/>
      <c r="L71" s="25"/>
      <c r="M71" s="165"/>
      <c r="N71" s="1019"/>
      <c r="O71" s="1020"/>
    </row>
    <row r="72" spans="1:22" ht="12.6" customHeight="1">
      <c r="A72" s="68" t="s">
        <v>1323</v>
      </c>
      <c r="B72" s="285"/>
      <c r="C72" s="29"/>
      <c r="D72" s="71"/>
      <c r="E72" s="165">
        <v>140200</v>
      </c>
      <c r="F72" s="71"/>
      <c r="G72" s="165">
        <v>0</v>
      </c>
      <c r="H72" s="25"/>
      <c r="I72" s="165">
        <f t="shared" ref="I72" si="8">K72-G72</f>
        <v>0</v>
      </c>
      <c r="J72" s="25"/>
      <c r="K72" s="165">
        <v>0</v>
      </c>
      <c r="L72" s="30"/>
      <c r="M72" s="166">
        <v>0</v>
      </c>
      <c r="N72" s="1019"/>
      <c r="O72" s="1020"/>
    </row>
    <row r="73" spans="1:22" ht="12.6" customHeight="1">
      <c r="A73" s="1251" t="s">
        <v>16</v>
      </c>
      <c r="B73" s="1253"/>
      <c r="C73" s="29"/>
      <c r="D73" s="35" t="s">
        <v>15</v>
      </c>
      <c r="E73" s="168">
        <f>SUM(E60:E72)</f>
        <v>481180</v>
      </c>
      <c r="F73" s="35" t="s">
        <v>15</v>
      </c>
      <c r="G73" s="168">
        <f>SUM(G60:G72)</f>
        <v>0</v>
      </c>
      <c r="H73" s="35" t="s">
        <v>15</v>
      </c>
      <c r="I73" s="168">
        <f>SUM(I60:I72)</f>
        <v>310000</v>
      </c>
      <c r="J73" s="35" t="s">
        <v>15</v>
      </c>
      <c r="K73" s="168">
        <f>SUM(K60:K72)</f>
        <v>310000</v>
      </c>
      <c r="L73" s="35" t="s">
        <v>15</v>
      </c>
      <c r="M73" s="168">
        <f>SUM(M60:M72)</f>
        <v>0</v>
      </c>
      <c r="N73" s="1022" t="s">
        <v>15</v>
      </c>
      <c r="O73" s="1023">
        <f>M73-K73</f>
        <v>-310000</v>
      </c>
      <c r="P73" s="1018">
        <f>O73-K73</f>
        <v>-620000</v>
      </c>
    </row>
    <row r="74" spans="1:22" ht="4.5" customHeight="1">
      <c r="A74" s="28"/>
      <c r="B74" s="23"/>
      <c r="C74" s="29"/>
      <c r="D74" s="25"/>
      <c r="E74" s="165"/>
      <c r="F74" s="25"/>
      <c r="G74" s="165"/>
      <c r="H74" s="25"/>
      <c r="I74" s="165"/>
      <c r="J74" s="25"/>
      <c r="K74" s="165"/>
      <c r="L74" s="25"/>
      <c r="M74" s="165"/>
      <c r="N74" s="1014"/>
      <c r="O74" s="1015"/>
    </row>
    <row r="75" spans="1:22">
      <c r="A75" s="1259" t="s">
        <v>277</v>
      </c>
      <c r="B75" s="1261"/>
      <c r="C75" s="34"/>
      <c r="D75" s="66" t="s">
        <v>15</v>
      </c>
      <c r="E75" s="172">
        <f>E73+E58+E37</f>
        <v>10654451.48</v>
      </c>
      <c r="F75" s="66" t="s">
        <v>15</v>
      </c>
      <c r="G75" s="172">
        <f>G73+G58+G37</f>
        <v>5452983.8100000005</v>
      </c>
      <c r="H75" s="66" t="s">
        <v>15</v>
      </c>
      <c r="I75" s="172">
        <f>I73+I58+I37</f>
        <v>9344674.1900000013</v>
      </c>
      <c r="J75" s="66" t="s">
        <v>15</v>
      </c>
      <c r="K75" s="172">
        <f>K73+K58+K37</f>
        <v>14797658</v>
      </c>
      <c r="L75" s="66" t="s">
        <v>15</v>
      </c>
      <c r="M75" s="172">
        <f>M73+M58+M37</f>
        <v>14158724</v>
      </c>
      <c r="N75" s="1028"/>
      <c r="O75" s="1029"/>
      <c r="P75" s="1029">
        <f>P73+P58+P37</f>
        <v>-7217927</v>
      </c>
    </row>
    <row r="76" spans="1:22" ht="6.75" customHeight="1">
      <c r="A76" s="516"/>
      <c r="B76" s="516"/>
      <c r="C76" s="37"/>
      <c r="D76" s="38"/>
      <c r="E76" s="567"/>
      <c r="F76" s="38"/>
      <c r="G76" s="567"/>
      <c r="H76" s="38"/>
      <c r="I76" s="567"/>
      <c r="J76" s="38"/>
      <c r="K76" s="567"/>
      <c r="L76" s="38"/>
      <c r="M76" s="567"/>
      <c r="N76" s="1030"/>
      <c r="O76" s="1031"/>
      <c r="P76" s="1031"/>
    </row>
    <row r="77" spans="1:22">
      <c r="A77" s="62" t="s">
        <v>1623</v>
      </c>
      <c r="B77" s="911"/>
      <c r="C77" s="912"/>
      <c r="D77" s="38"/>
      <c r="E77" s="567"/>
      <c r="F77" s="38"/>
      <c r="G77" s="567"/>
      <c r="H77" s="38"/>
      <c r="I77" s="567"/>
      <c r="J77" s="38"/>
      <c r="K77" s="567"/>
      <c r="L77" s="38"/>
      <c r="M77" s="567"/>
      <c r="N77" s="1030"/>
      <c r="O77" s="1031"/>
      <c r="P77" s="1031"/>
    </row>
    <row r="78" spans="1:22">
      <c r="A78" s="516"/>
      <c r="B78" s="516"/>
      <c r="C78" s="37"/>
      <c r="D78" s="38"/>
      <c r="E78" s="567"/>
      <c r="F78" s="38"/>
      <c r="G78" s="567"/>
      <c r="H78" s="38"/>
      <c r="I78" s="567"/>
      <c r="J78" s="38"/>
      <c r="K78" s="567"/>
      <c r="L78" s="38"/>
      <c r="M78" s="567"/>
      <c r="N78" s="1030"/>
      <c r="O78" s="1031"/>
      <c r="P78" s="1031"/>
    </row>
    <row r="79" spans="1:22" s="74" customFormat="1">
      <c r="A79" s="74" t="s">
        <v>187</v>
      </c>
      <c r="C79" s="75" t="s">
        <v>188</v>
      </c>
      <c r="F79" s="76"/>
      <c r="I79" s="74" t="s">
        <v>190</v>
      </c>
      <c r="L79" s="76"/>
      <c r="N79" s="1032"/>
      <c r="O79" s="925"/>
      <c r="P79" s="1032"/>
      <c r="Q79" s="925"/>
      <c r="R79" s="77"/>
      <c r="S79" s="77"/>
      <c r="T79" s="77"/>
      <c r="U79" s="77"/>
      <c r="V79" s="77"/>
    </row>
    <row r="80" spans="1:22" ht="12" customHeight="1">
      <c r="A80" s="78" t="s">
        <v>203</v>
      </c>
      <c r="B80" s="78"/>
      <c r="C80" s="11"/>
      <c r="D80" s="80"/>
      <c r="E80" s="78"/>
      <c r="F80" s="78"/>
      <c r="G80" s="78"/>
      <c r="H80" s="78"/>
      <c r="I80" s="78"/>
      <c r="J80" s="78"/>
      <c r="K80" s="78"/>
      <c r="L80" s="78"/>
      <c r="M80" s="78"/>
      <c r="N80" s="1010"/>
      <c r="O80" s="1010"/>
    </row>
    <row r="81" spans="1:17" ht="11.25" customHeight="1">
      <c r="A81" s="78"/>
      <c r="B81" s="78"/>
      <c r="C81" s="11"/>
      <c r="D81" s="80"/>
      <c r="E81" s="78"/>
      <c r="F81" s="78"/>
      <c r="G81" s="78"/>
      <c r="H81" s="78"/>
      <c r="I81" s="78"/>
      <c r="J81" s="78"/>
      <c r="K81" s="78"/>
      <c r="L81" s="78"/>
      <c r="M81" s="78"/>
      <c r="N81" s="1010"/>
      <c r="O81" s="1010"/>
    </row>
    <row r="82" spans="1:17" s="11" customFormat="1" ht="13.5">
      <c r="A82" s="1323" t="s">
        <v>1601</v>
      </c>
      <c r="B82" s="1323"/>
      <c r="C82" s="1323" t="s">
        <v>1602</v>
      </c>
      <c r="D82" s="1323"/>
      <c r="E82" s="1323"/>
      <c r="F82" s="1323"/>
      <c r="G82" s="1323"/>
      <c r="H82" s="131"/>
      <c r="I82" s="1323" t="str">
        <f>sbo!H88</f>
        <v>(Sgd.) ATTY. JOSE JOEL P. DOROMAL</v>
      </c>
      <c r="J82" s="1323"/>
      <c r="K82" s="1323"/>
      <c r="L82" s="1323"/>
      <c r="M82" s="1323"/>
      <c r="N82" s="1010"/>
      <c r="O82" s="1010"/>
      <c r="P82" s="926"/>
      <c r="Q82" s="926"/>
    </row>
    <row r="83" spans="1:17" ht="13.5">
      <c r="A83" s="1322" t="s">
        <v>299</v>
      </c>
      <c r="B83" s="1322"/>
      <c r="C83" s="1322" t="s">
        <v>198</v>
      </c>
      <c r="D83" s="1322"/>
      <c r="E83" s="1322"/>
      <c r="F83" s="1322"/>
      <c r="G83" s="1322"/>
      <c r="H83" s="87"/>
      <c r="I83" s="1322" t="s">
        <v>192</v>
      </c>
      <c r="J83" s="1322"/>
      <c r="K83" s="1322"/>
      <c r="L83" s="1322"/>
      <c r="M83" s="1322"/>
      <c r="N83" s="1013"/>
      <c r="O83" s="1013"/>
    </row>
    <row r="86" spans="1:17" s="922" customFormat="1">
      <c r="A86" s="922" t="s">
        <v>1062</v>
      </c>
      <c r="D86" s="928"/>
      <c r="F86" s="928"/>
      <c r="H86" s="928"/>
      <c r="J86" s="928"/>
      <c r="L86" s="928"/>
      <c r="N86" s="928"/>
    </row>
    <row r="87" spans="1:17" s="922" customFormat="1">
      <c r="A87" s="922" t="s">
        <v>1063</v>
      </c>
      <c r="D87" s="928"/>
      <c r="F87" s="928"/>
      <c r="H87" s="928"/>
      <c r="J87" s="928"/>
      <c r="L87" s="928"/>
      <c r="N87" s="928"/>
    </row>
    <row r="88" spans="1:17" s="922" customFormat="1">
      <c r="A88" s="922" t="s">
        <v>1064</v>
      </c>
      <c r="D88" s="928"/>
      <c r="F88" s="928"/>
      <c r="H88" s="928"/>
      <c r="J88" s="928"/>
      <c r="L88" s="928"/>
      <c r="N88" s="928"/>
    </row>
    <row r="89" spans="1:17" s="922" customFormat="1">
      <c r="A89" s="922" t="s">
        <v>1065</v>
      </c>
      <c r="D89" s="928"/>
      <c r="F89" s="928"/>
      <c r="H89" s="928"/>
      <c r="J89" s="928"/>
      <c r="L89" s="928"/>
      <c r="N89" s="928"/>
    </row>
    <row r="90" spans="1:17" s="922" customFormat="1">
      <c r="D90" s="928"/>
      <c r="F90" s="928"/>
      <c r="H90" s="928"/>
      <c r="J90" s="928"/>
      <c r="L90" s="928"/>
      <c r="N90" s="928"/>
    </row>
    <row r="91" spans="1:17" s="922" customFormat="1">
      <c r="A91" s="922" t="s">
        <v>1066</v>
      </c>
      <c r="D91" s="928"/>
      <c r="F91" s="928"/>
      <c r="H91" s="928"/>
      <c r="J91" s="928"/>
      <c r="L91" s="928"/>
      <c r="N91" s="928"/>
    </row>
    <row r="92" spans="1:17" s="922" customFormat="1">
      <c r="D92" s="928"/>
      <c r="F92" s="928"/>
      <c r="H92" s="928"/>
      <c r="J92" s="928"/>
      <c r="L92" s="928"/>
      <c r="N92" s="928"/>
    </row>
    <row r="93" spans="1:17" s="922" customFormat="1">
      <c r="D93" s="928"/>
      <c r="F93" s="928"/>
      <c r="H93" s="928"/>
      <c r="J93" s="928"/>
      <c r="L93" s="928"/>
      <c r="N93" s="928"/>
    </row>
    <row r="151" spans="1:14" ht="8.25" customHeight="1"/>
    <row r="152" spans="1:14">
      <c r="A152" s="83" t="s">
        <v>240</v>
      </c>
      <c r="B152" s="14"/>
      <c r="C152" s="14"/>
      <c r="D152" s="42"/>
      <c r="E152" s="41"/>
      <c r="F152" s="8"/>
      <c r="H152" s="8"/>
      <c r="J152" s="8"/>
      <c r="L152" s="8"/>
      <c r="N152" s="922"/>
    </row>
    <row r="153" spans="1:14">
      <c r="A153" s="1341" t="s">
        <v>60</v>
      </c>
      <c r="B153" s="1342"/>
      <c r="C153" s="33"/>
      <c r="D153" s="40"/>
      <c r="E153" s="23"/>
      <c r="F153" s="8"/>
      <c r="H153" s="8"/>
      <c r="J153" s="8"/>
      <c r="L153" s="8"/>
      <c r="N153" s="922"/>
    </row>
    <row r="154" spans="1:14">
      <c r="A154" s="28" t="s">
        <v>233</v>
      </c>
      <c r="B154" s="33"/>
      <c r="C154" s="33"/>
      <c r="D154" s="40"/>
      <c r="E154" s="84" t="s">
        <v>228</v>
      </c>
      <c r="F154" s="8"/>
      <c r="H154" s="8"/>
      <c r="J154" s="8"/>
      <c r="L154" s="8"/>
      <c r="N154" s="922"/>
    </row>
    <row r="155" spans="1:14">
      <c r="A155" s="28"/>
      <c r="B155" s="33"/>
      <c r="C155" s="33"/>
      <c r="D155" s="40"/>
      <c r="E155" s="23"/>
      <c r="F155" s="8"/>
      <c r="H155" s="8"/>
      <c r="J155" s="8"/>
      <c r="L155" s="8"/>
      <c r="N155" s="922"/>
    </row>
    <row r="156" spans="1:14">
      <c r="A156" s="27" t="s">
        <v>61</v>
      </c>
      <c r="B156" s="33"/>
      <c r="C156" s="33"/>
      <c r="D156" s="40" t="s">
        <v>15</v>
      </c>
      <c r="E156" s="26">
        <v>271000</v>
      </c>
      <c r="F156" s="8"/>
      <c r="H156" s="8"/>
      <c r="J156" s="8"/>
      <c r="L156" s="8"/>
      <c r="N156" s="922"/>
    </row>
    <row r="157" spans="1:14">
      <c r="A157" s="27" t="s">
        <v>68</v>
      </c>
      <c r="B157" s="33"/>
      <c r="C157" s="33"/>
      <c r="D157" s="40"/>
      <c r="E157" s="26">
        <v>60000</v>
      </c>
      <c r="F157" s="8"/>
      <c r="H157" s="8"/>
      <c r="J157" s="8"/>
      <c r="L157" s="8"/>
      <c r="N157" s="922"/>
    </row>
    <row r="158" spans="1:14">
      <c r="A158" s="27" t="s">
        <v>69</v>
      </c>
      <c r="B158" s="33"/>
      <c r="C158" s="33"/>
      <c r="D158" s="40"/>
      <c r="E158" s="26">
        <v>100000</v>
      </c>
      <c r="F158" s="8"/>
      <c r="H158" s="8"/>
      <c r="J158" s="8"/>
      <c r="L158" s="8"/>
      <c r="N158" s="922"/>
    </row>
    <row r="159" spans="1:14">
      <c r="A159" s="27" t="s">
        <v>70</v>
      </c>
      <c r="B159" s="33"/>
      <c r="C159" s="33"/>
      <c r="D159" s="40"/>
      <c r="E159" s="26">
        <v>20000</v>
      </c>
      <c r="F159" s="8"/>
      <c r="H159" s="8"/>
      <c r="J159" s="8"/>
      <c r="L159" s="8"/>
      <c r="N159" s="922"/>
    </row>
    <row r="160" spans="1:14" ht="15">
      <c r="A160" s="27" t="s">
        <v>71</v>
      </c>
      <c r="B160" s="33"/>
      <c r="C160" s="33"/>
      <c r="D160" s="40"/>
      <c r="E160" s="85">
        <v>274000</v>
      </c>
      <c r="F160" s="8"/>
      <c r="H160" s="8"/>
      <c r="J160" s="8"/>
      <c r="L160" s="8"/>
      <c r="N160" s="922"/>
    </row>
    <row r="161" spans="1:14">
      <c r="A161" s="1343" t="s">
        <v>64</v>
      </c>
      <c r="B161" s="1344"/>
      <c r="C161" s="33"/>
      <c r="D161" s="40" t="s">
        <v>15</v>
      </c>
      <c r="E161" s="26">
        <f>SUM(E156:E160)</f>
        <v>725000</v>
      </c>
      <c r="F161" s="8"/>
      <c r="H161" s="8"/>
      <c r="J161" s="8"/>
      <c r="L161" s="8"/>
      <c r="N161" s="922"/>
    </row>
    <row r="162" spans="1:14">
      <c r="A162" s="60"/>
      <c r="B162" s="12"/>
      <c r="C162" s="12"/>
      <c r="D162" s="61"/>
      <c r="E162" s="82"/>
      <c r="F162" s="8"/>
      <c r="H162" s="8"/>
      <c r="J162" s="8"/>
      <c r="L162" s="8"/>
      <c r="N162" s="922"/>
    </row>
    <row r="165" spans="1:14">
      <c r="A165" s="83" t="s">
        <v>240</v>
      </c>
      <c r="B165" s="14"/>
      <c r="C165" s="14"/>
      <c r="D165" s="42"/>
      <c r="E165" s="41"/>
    </row>
    <row r="166" spans="1:14">
      <c r="A166" s="1341" t="s">
        <v>60</v>
      </c>
      <c r="B166" s="1342"/>
      <c r="C166" s="33"/>
      <c r="D166" s="40"/>
      <c r="E166" s="23"/>
    </row>
    <row r="167" spans="1:14">
      <c r="A167" s="28" t="s">
        <v>233</v>
      </c>
      <c r="B167" s="33"/>
      <c r="C167" s="33"/>
      <c r="D167" s="40"/>
      <c r="E167" s="84" t="s">
        <v>300</v>
      </c>
    </row>
    <row r="168" spans="1:14">
      <c r="A168" s="28"/>
      <c r="B168" s="33"/>
      <c r="C168" s="33"/>
      <c r="D168" s="40"/>
      <c r="E168" s="23"/>
    </row>
    <row r="169" spans="1:14">
      <c r="A169" s="27" t="s">
        <v>61</v>
      </c>
      <c r="B169" s="33"/>
      <c r="C169" s="33"/>
      <c r="D169" s="40" t="s">
        <v>15</v>
      </c>
      <c r="E169" s="26">
        <v>1657000</v>
      </c>
    </row>
    <row r="170" spans="1:14">
      <c r="A170" s="27" t="s">
        <v>68</v>
      </c>
      <c r="B170" s="33"/>
      <c r="C170" s="33"/>
      <c r="D170" s="40"/>
      <c r="E170" s="26">
        <v>100000</v>
      </c>
    </row>
    <row r="171" spans="1:14">
      <c r="A171" s="27" t="s">
        <v>69</v>
      </c>
      <c r="B171" s="33"/>
      <c r="C171" s="33"/>
      <c r="D171" s="40"/>
      <c r="E171" s="26">
        <v>100000</v>
      </c>
    </row>
    <row r="172" spans="1:14">
      <c r="A172" s="27" t="s">
        <v>70</v>
      </c>
      <c r="B172" s="33"/>
      <c r="C172" s="33"/>
      <c r="D172" s="40"/>
      <c r="E172" s="26">
        <v>20000</v>
      </c>
    </row>
    <row r="173" spans="1:14">
      <c r="A173" s="27" t="s">
        <v>71</v>
      </c>
      <c r="B173" s="33"/>
      <c r="C173" s="33"/>
      <c r="D173" s="40"/>
      <c r="E173" s="26">
        <v>300000</v>
      </c>
    </row>
    <row r="174" spans="1:14" ht="15">
      <c r="A174" s="27" t="s">
        <v>323</v>
      </c>
      <c r="B174" s="33"/>
      <c r="C174" s="33"/>
      <c r="D174" s="40"/>
      <c r="E174" s="85">
        <v>420000</v>
      </c>
    </row>
    <row r="175" spans="1:14">
      <c r="A175" s="1343" t="s">
        <v>64</v>
      </c>
      <c r="B175" s="1344"/>
      <c r="C175" s="33"/>
      <c r="D175" s="40" t="s">
        <v>15</v>
      </c>
      <c r="E175" s="26">
        <f>SUM(E169:E174)</f>
        <v>2597000</v>
      </c>
    </row>
    <row r="176" spans="1:14">
      <c r="A176" s="60"/>
      <c r="B176" s="12"/>
      <c r="C176" s="12"/>
      <c r="D176" s="61"/>
      <c r="E176" s="82"/>
    </row>
    <row r="178" spans="1:5">
      <c r="A178" s="83" t="s">
        <v>240</v>
      </c>
      <c r="B178" s="14"/>
      <c r="C178" s="14"/>
      <c r="D178" s="42"/>
      <c r="E178" s="41"/>
    </row>
    <row r="179" spans="1:5">
      <c r="A179" s="1341" t="s">
        <v>60</v>
      </c>
      <c r="B179" s="1342"/>
      <c r="C179" s="33"/>
      <c r="D179" s="40"/>
      <c r="E179" s="23"/>
    </row>
    <row r="180" spans="1:5">
      <c r="A180" s="28" t="s">
        <v>233</v>
      </c>
      <c r="B180" s="33"/>
      <c r="C180" s="33"/>
      <c r="D180" s="40"/>
      <c r="E180" s="84" t="s">
        <v>300</v>
      </c>
    </row>
    <row r="181" spans="1:5">
      <c r="A181" s="28"/>
      <c r="B181" s="33"/>
      <c r="C181" s="33"/>
      <c r="D181" s="40"/>
      <c r="E181" s="23"/>
    </row>
    <row r="182" spans="1:5">
      <c r="A182" s="27" t="s">
        <v>61</v>
      </c>
      <c r="B182" s="33"/>
      <c r="C182" s="33"/>
      <c r="D182" s="40" t="s">
        <v>15</v>
      </c>
      <c r="E182" s="26">
        <v>1657000</v>
      </c>
    </row>
    <row r="183" spans="1:5">
      <c r="A183" s="27" t="s">
        <v>68</v>
      </c>
      <c r="B183" s="33"/>
      <c r="C183" s="33"/>
      <c r="D183" s="40"/>
      <c r="E183" s="26">
        <v>100000</v>
      </c>
    </row>
    <row r="184" spans="1:5">
      <c r="A184" s="27" t="s">
        <v>69</v>
      </c>
      <c r="B184" s="33"/>
      <c r="C184" s="33"/>
      <c r="D184" s="40"/>
      <c r="E184" s="26">
        <v>100000</v>
      </c>
    </row>
    <row r="185" spans="1:5">
      <c r="A185" s="27" t="s">
        <v>70</v>
      </c>
      <c r="B185" s="33"/>
      <c r="C185" s="33"/>
      <c r="D185" s="40"/>
      <c r="E185" s="26">
        <v>20000</v>
      </c>
    </row>
    <row r="186" spans="1:5">
      <c r="A186" s="27" t="s">
        <v>71</v>
      </c>
      <c r="B186" s="33"/>
      <c r="C186" s="33"/>
      <c r="D186" s="40"/>
      <c r="E186" s="26">
        <v>300000</v>
      </c>
    </row>
    <row r="187" spans="1:5" ht="15">
      <c r="A187" s="27" t="s">
        <v>323</v>
      </c>
      <c r="B187" s="33"/>
      <c r="C187" s="33"/>
      <c r="D187" s="40"/>
      <c r="E187" s="85">
        <v>420000</v>
      </c>
    </row>
    <row r="188" spans="1:5">
      <c r="A188" s="1343" t="s">
        <v>64</v>
      </c>
      <c r="B188" s="1344"/>
      <c r="C188" s="33"/>
      <c r="D188" s="40" t="s">
        <v>15</v>
      </c>
      <c r="E188" s="26">
        <f>SUM(E182:E187)</f>
        <v>2597000</v>
      </c>
    </row>
    <row r="189" spans="1:5">
      <c r="A189" s="60"/>
      <c r="B189" s="12"/>
      <c r="C189" s="12"/>
      <c r="D189" s="61"/>
      <c r="E189" s="82"/>
    </row>
    <row r="191" spans="1:5">
      <c r="A191" s="83" t="s">
        <v>244</v>
      </c>
      <c r="B191" s="14"/>
      <c r="C191" s="14"/>
      <c r="D191" s="42"/>
      <c r="E191" s="41"/>
    </row>
    <row r="192" spans="1:5">
      <c r="A192" s="1341" t="s">
        <v>60</v>
      </c>
      <c r="B192" s="1342"/>
      <c r="C192" s="33"/>
      <c r="D192" s="40"/>
      <c r="E192" s="23"/>
    </row>
    <row r="193" spans="1:5">
      <c r="A193" s="28" t="s">
        <v>233</v>
      </c>
      <c r="B193" s="33"/>
      <c r="C193" s="33"/>
      <c r="D193" s="40"/>
      <c r="E193" s="84" t="s">
        <v>300</v>
      </c>
    </row>
    <row r="194" spans="1:5">
      <c r="A194" s="28"/>
      <c r="B194" s="33"/>
      <c r="C194" s="33"/>
      <c r="D194" s="40"/>
      <c r="E194" s="23"/>
    </row>
    <row r="195" spans="1:5">
      <c r="A195" s="27" t="s">
        <v>61</v>
      </c>
      <c r="B195" s="33"/>
      <c r="C195" s="33"/>
      <c r="D195" s="40" t="s">
        <v>15</v>
      </c>
      <c r="E195" s="26">
        <v>538000</v>
      </c>
    </row>
    <row r="196" spans="1:5">
      <c r="A196" s="27" t="s">
        <v>304</v>
      </c>
      <c r="B196" s="33"/>
      <c r="C196" s="33"/>
      <c r="D196" s="40"/>
      <c r="E196" s="26">
        <v>100000</v>
      </c>
    </row>
    <row r="197" spans="1:5">
      <c r="A197" s="27" t="s">
        <v>303</v>
      </c>
      <c r="B197" s="33"/>
      <c r="C197" s="33"/>
      <c r="D197" s="40"/>
      <c r="E197" s="26">
        <v>100000</v>
      </c>
    </row>
    <row r="198" spans="1:5">
      <c r="A198" s="27" t="s">
        <v>323</v>
      </c>
      <c r="B198" s="33"/>
      <c r="C198" s="33"/>
      <c r="D198" s="40"/>
      <c r="E198" s="31">
        <v>210000</v>
      </c>
    </row>
    <row r="199" spans="1:5">
      <c r="A199" s="1343" t="s">
        <v>64</v>
      </c>
      <c r="B199" s="1344"/>
      <c r="C199" s="33"/>
      <c r="D199" s="40" t="s">
        <v>15</v>
      </c>
      <c r="E199" s="26">
        <f>SUM(E195:E198)</f>
        <v>948000</v>
      </c>
    </row>
    <row r="200" spans="1:5">
      <c r="A200" s="60"/>
      <c r="B200" s="12"/>
      <c r="C200" s="12"/>
      <c r="D200" s="61"/>
      <c r="E200" s="82"/>
    </row>
  </sheetData>
  <sheetProtection algorithmName="SHA-512" hashValue="GxsJX43tfzRVJboki8NZ5JNwDJ4H7oNZl45STU8zzW7Qa5tv4TGG0gYzNZdgbduUGTSpe00FcQuFIDIx1d6DXw==" saltValue="lxFxA5aOjuLeMVlr/Tha/Q==" spinCount="100000" sheet="1" objects="1" scenarios="1"/>
  <mergeCells count="34">
    <mergeCell ref="A3:M3"/>
    <mergeCell ref="A4:M4"/>
    <mergeCell ref="I82:M82"/>
    <mergeCell ref="I83:M83"/>
    <mergeCell ref="A58:B58"/>
    <mergeCell ref="A73:B73"/>
    <mergeCell ref="F12:G12"/>
    <mergeCell ref="A75:B75"/>
    <mergeCell ref="D13:E13"/>
    <mergeCell ref="A12:B12"/>
    <mergeCell ref="F11:K11"/>
    <mergeCell ref="J12:K13"/>
    <mergeCell ref="H13:I13"/>
    <mergeCell ref="H12:I12"/>
    <mergeCell ref="A199:B199"/>
    <mergeCell ref="D11:E11"/>
    <mergeCell ref="A161:B161"/>
    <mergeCell ref="A37:B37"/>
    <mergeCell ref="C82:G82"/>
    <mergeCell ref="F13:G13"/>
    <mergeCell ref="D12:E12"/>
    <mergeCell ref="A82:B82"/>
    <mergeCell ref="A188:B188"/>
    <mergeCell ref="A175:B175"/>
    <mergeCell ref="C83:G83"/>
    <mergeCell ref="A153:B153"/>
    <mergeCell ref="A83:B83"/>
    <mergeCell ref="A166:B166"/>
    <mergeCell ref="A179:B179"/>
    <mergeCell ref="N11:O13"/>
    <mergeCell ref="L13:M13"/>
    <mergeCell ref="L11:M11"/>
    <mergeCell ref="L12:M12"/>
    <mergeCell ref="A192:B192"/>
  </mergeCells>
  <pageMargins left="0.5" right="0.5" top="1" bottom="1" header="0.31496062992126" footer="0.31496062992126"/>
  <pageSetup paperSize="14" orientation="portrait" verticalDpi="300" r:id="rId1"/>
  <headerFooter alignWithMargins="0">
    <oddHeader>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V156"/>
  <sheetViews>
    <sheetView topLeftCell="A70" zoomScale="190" zoomScaleNormal="190" workbookViewId="0">
      <selection activeCell="N22" sqref="N22"/>
    </sheetView>
  </sheetViews>
  <sheetFormatPr defaultColWidth="9.140625" defaultRowHeight="13.5"/>
  <cols>
    <col min="1" max="1" width="11" style="86" customWidth="1"/>
    <col min="2" max="2" width="23" style="86" customWidth="1"/>
    <col min="3" max="3" width="8.42578125" style="86" customWidth="1"/>
    <col min="4" max="4" width="2.140625" style="87" customWidth="1"/>
    <col min="5" max="5" width="9.85546875" style="86" customWidth="1"/>
    <col min="6" max="6" width="1.7109375" style="87" customWidth="1"/>
    <col min="7" max="7" width="9.7109375" style="86" customWidth="1"/>
    <col min="8" max="8" width="1.7109375" style="87" customWidth="1"/>
    <col min="9" max="9" width="10.140625" style="86" customWidth="1"/>
    <col min="10" max="10" width="2.140625" style="87" customWidth="1"/>
    <col min="11" max="11" width="10.28515625" style="86" customWidth="1"/>
    <col min="12" max="12" width="2" style="87" customWidth="1"/>
    <col min="13" max="13" width="10.42578125" style="86" customWidth="1"/>
    <col min="14" max="14" width="2" style="87" hidden="1" customWidth="1"/>
    <col min="15" max="15" width="0.140625" style="86" hidden="1" customWidth="1"/>
    <col min="16" max="16" width="9.140625" style="961" hidden="1" customWidth="1"/>
    <col min="17" max="17" width="13.28515625" style="961" bestFit="1" customWidth="1"/>
    <col min="18" max="19" width="9.140625" style="961"/>
    <col min="20" max="16384" width="9.140625" style="86"/>
  </cols>
  <sheetData>
    <row r="1" spans="1:20">
      <c r="A1" s="86" t="s">
        <v>186</v>
      </c>
    </row>
    <row r="2" spans="1:20" ht="8.25" customHeight="1"/>
    <row r="3" spans="1:20" ht="12" customHeight="1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774"/>
      <c r="O3" s="774"/>
      <c r="P3" s="962"/>
      <c r="Q3" s="962"/>
      <c r="R3" s="962"/>
      <c r="S3" s="962"/>
      <c r="T3" s="88"/>
    </row>
    <row r="4" spans="1:20" ht="13.5" customHeight="1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774"/>
      <c r="O4" s="774"/>
      <c r="P4" s="962"/>
      <c r="Q4" s="962"/>
      <c r="R4" s="962"/>
      <c r="S4" s="962"/>
      <c r="T4" s="88"/>
    </row>
    <row r="5" spans="1:20" ht="13.5" customHeight="1"/>
    <row r="6" spans="1:20">
      <c r="A6" s="89" t="s">
        <v>85</v>
      </c>
      <c r="B6" s="90" t="s">
        <v>411</v>
      </c>
      <c r="C6" s="90"/>
    </row>
    <row r="7" spans="1:20" hidden="1">
      <c r="A7" s="86" t="s">
        <v>2</v>
      </c>
      <c r="B7" s="91" t="s">
        <v>412</v>
      </c>
      <c r="C7" s="91"/>
      <c r="F7" s="1338"/>
      <c r="G7" s="1338"/>
      <c r="H7" s="1338"/>
      <c r="I7" s="1338"/>
      <c r="J7" s="1338"/>
      <c r="K7" s="1338"/>
      <c r="L7" s="1338"/>
      <c r="M7" s="1338"/>
      <c r="N7" s="777"/>
      <c r="O7" s="777"/>
    </row>
    <row r="8" spans="1:20" hidden="1">
      <c r="A8" s="86" t="s">
        <v>3</v>
      </c>
      <c r="B8" s="91" t="s">
        <v>413</v>
      </c>
      <c r="C8" s="91"/>
      <c r="F8" s="1322"/>
      <c r="G8" s="1322"/>
      <c r="H8" s="1322"/>
      <c r="I8" s="1322"/>
      <c r="J8" s="1322"/>
      <c r="K8" s="1322"/>
      <c r="L8" s="1322"/>
      <c r="M8" s="1322"/>
      <c r="N8" s="776"/>
      <c r="O8" s="776"/>
    </row>
    <row r="9" spans="1:20" hidden="1">
      <c r="A9" s="86" t="s">
        <v>4</v>
      </c>
      <c r="B9" s="91" t="s">
        <v>404</v>
      </c>
      <c r="C9" s="91"/>
    </row>
    <row r="10" spans="1:20" ht="8.25" customHeight="1">
      <c r="B10" s="92"/>
      <c r="C10" s="92"/>
    </row>
    <row r="11" spans="1:20">
      <c r="A11" s="93"/>
      <c r="B11" s="94"/>
      <c r="C11" s="2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292" t="s">
        <v>494</v>
      </c>
      <c r="O11" s="1293"/>
    </row>
    <row r="12" spans="1:20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294"/>
      <c r="O12" s="1295"/>
    </row>
    <row r="13" spans="1:20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296"/>
      <c r="O13" s="1297"/>
    </row>
    <row r="14" spans="1:20">
      <c r="A14" s="97" t="s">
        <v>281</v>
      </c>
      <c r="B14" s="98"/>
      <c r="C14" s="99"/>
      <c r="D14" s="100"/>
      <c r="E14" s="7"/>
      <c r="F14" s="100"/>
      <c r="G14" s="7"/>
      <c r="H14" s="100"/>
      <c r="I14" s="7"/>
      <c r="J14" s="100"/>
      <c r="K14" s="7"/>
      <c r="L14" s="100"/>
      <c r="M14" s="7"/>
      <c r="N14" s="100"/>
      <c r="O14" s="7"/>
    </row>
    <row r="15" spans="1:20" ht="12" customHeight="1">
      <c r="A15" s="101" t="s">
        <v>262</v>
      </c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  <c r="N15" s="100"/>
      <c r="O15" s="7"/>
    </row>
    <row r="16" spans="1:20" ht="12" customHeight="1">
      <c r="A16" s="101" t="s">
        <v>263</v>
      </c>
      <c r="B16" s="98"/>
      <c r="C16" s="102" t="s">
        <v>114</v>
      </c>
      <c r="D16" s="100" t="s">
        <v>15</v>
      </c>
      <c r="E16" s="7">
        <v>2787564</v>
      </c>
      <c r="F16" s="100" t="s">
        <v>15</v>
      </c>
      <c r="G16" s="7">
        <v>1441410</v>
      </c>
      <c r="H16" s="100" t="s">
        <v>15</v>
      </c>
      <c r="I16" s="7">
        <f t="shared" ref="I16:I17" si="0">K16-G16</f>
        <v>1441446</v>
      </c>
      <c r="J16" s="100" t="s">
        <v>15</v>
      </c>
      <c r="K16" s="7">
        <v>2882856</v>
      </c>
      <c r="L16" s="100" t="s">
        <v>15</v>
      </c>
      <c r="M16" s="7">
        <v>2909172</v>
      </c>
      <c r="N16" s="104" t="s">
        <v>15</v>
      </c>
      <c r="O16" s="105">
        <v>0</v>
      </c>
      <c r="Q16" s="963"/>
    </row>
    <row r="17" spans="1:17" ht="12" customHeight="1">
      <c r="A17" s="101" t="s">
        <v>264</v>
      </c>
      <c r="B17" s="98"/>
      <c r="C17" s="102" t="s">
        <v>115</v>
      </c>
      <c r="D17" s="100"/>
      <c r="E17" s="7">
        <v>224443.29</v>
      </c>
      <c r="F17" s="100"/>
      <c r="G17" s="7">
        <v>153340</v>
      </c>
      <c r="H17" s="100"/>
      <c r="I17" s="7">
        <f t="shared" si="0"/>
        <v>170516</v>
      </c>
      <c r="J17" s="100"/>
      <c r="K17" s="7">
        <v>323856</v>
      </c>
      <c r="L17" s="100"/>
      <c r="M17" s="7">
        <v>598596</v>
      </c>
      <c r="N17" s="748"/>
      <c r="O17" s="749">
        <v>0</v>
      </c>
      <c r="Q17" s="963"/>
    </row>
    <row r="18" spans="1:17" ht="12" customHeight="1">
      <c r="A18" s="101" t="s">
        <v>265</v>
      </c>
      <c r="B18" s="98"/>
      <c r="C18" s="102"/>
      <c r="D18" s="100"/>
      <c r="E18" s="7"/>
      <c r="F18" s="100"/>
      <c r="G18" s="7"/>
      <c r="H18" s="100"/>
      <c r="I18" s="7"/>
      <c r="J18" s="100"/>
      <c r="K18" s="7"/>
      <c r="L18" s="100"/>
      <c r="M18" s="7"/>
      <c r="N18" s="748"/>
      <c r="O18" s="749"/>
      <c r="P18" s="963"/>
    </row>
    <row r="19" spans="1:17" ht="12" customHeight="1">
      <c r="A19" s="101" t="s">
        <v>266</v>
      </c>
      <c r="B19" s="98"/>
      <c r="C19" s="102" t="s">
        <v>116</v>
      </c>
      <c r="D19" s="100"/>
      <c r="E19" s="7">
        <v>202636.55</v>
      </c>
      <c r="F19" s="100"/>
      <c r="G19" s="7">
        <v>106726.22</v>
      </c>
      <c r="H19" s="100"/>
      <c r="I19" s="7">
        <f t="shared" ref="I19:I24" si="1">K19-G19</f>
        <v>109273.78</v>
      </c>
      <c r="J19" s="100"/>
      <c r="K19" s="7">
        <v>216000</v>
      </c>
      <c r="L19" s="100"/>
      <c r="M19" s="7">
        <v>240000</v>
      </c>
      <c r="N19" s="748"/>
      <c r="O19" s="749">
        <v>0</v>
      </c>
      <c r="Q19" s="963"/>
    </row>
    <row r="20" spans="1:17" ht="12" customHeight="1">
      <c r="A20" s="101" t="s">
        <v>267</v>
      </c>
      <c r="B20" s="98"/>
      <c r="C20" s="102" t="s">
        <v>117</v>
      </c>
      <c r="D20" s="100"/>
      <c r="E20" s="7">
        <v>81000</v>
      </c>
      <c r="F20" s="100"/>
      <c r="G20" s="7">
        <v>40500</v>
      </c>
      <c r="H20" s="100"/>
      <c r="I20" s="7">
        <f t="shared" si="1"/>
        <v>40500</v>
      </c>
      <c r="J20" s="100"/>
      <c r="K20" s="7">
        <v>81000</v>
      </c>
      <c r="L20" s="100"/>
      <c r="M20" s="7">
        <v>81000</v>
      </c>
      <c r="N20" s="748"/>
      <c r="O20" s="749">
        <v>0</v>
      </c>
      <c r="Q20" s="963"/>
    </row>
    <row r="21" spans="1:17" ht="12" customHeight="1">
      <c r="A21" s="101" t="s">
        <v>268</v>
      </c>
      <c r="B21" s="106"/>
      <c r="C21" s="102" t="s">
        <v>118</v>
      </c>
      <c r="D21" s="100"/>
      <c r="E21" s="7">
        <v>81000</v>
      </c>
      <c r="F21" s="100"/>
      <c r="G21" s="7">
        <v>40500</v>
      </c>
      <c r="H21" s="100"/>
      <c r="I21" s="7">
        <f t="shared" si="1"/>
        <v>40500</v>
      </c>
      <c r="J21" s="100"/>
      <c r="K21" s="7">
        <v>81000</v>
      </c>
      <c r="L21" s="100"/>
      <c r="M21" s="7">
        <v>81000</v>
      </c>
      <c r="N21" s="748"/>
      <c r="O21" s="749">
        <v>0</v>
      </c>
      <c r="Q21" s="963"/>
    </row>
    <row r="22" spans="1:17" ht="12" customHeight="1">
      <c r="A22" s="101" t="s">
        <v>269</v>
      </c>
      <c r="B22" s="106"/>
      <c r="C22" s="102" t="s">
        <v>119</v>
      </c>
      <c r="D22" s="100"/>
      <c r="E22" s="7">
        <v>48000</v>
      </c>
      <c r="F22" s="100"/>
      <c r="G22" s="7">
        <v>54000</v>
      </c>
      <c r="H22" s="100"/>
      <c r="I22" s="7">
        <f t="shared" si="1"/>
        <v>0</v>
      </c>
      <c r="J22" s="100"/>
      <c r="K22" s="7">
        <v>54000</v>
      </c>
      <c r="L22" s="100"/>
      <c r="M22" s="7">
        <v>60000</v>
      </c>
      <c r="N22" s="748"/>
      <c r="O22" s="749">
        <v>0</v>
      </c>
      <c r="Q22" s="963"/>
    </row>
    <row r="23" spans="1:17" ht="12" customHeight="1">
      <c r="A23" s="101" t="s">
        <v>270</v>
      </c>
      <c r="B23" s="106"/>
      <c r="C23" s="102" t="s">
        <v>120</v>
      </c>
      <c r="D23" s="100"/>
      <c r="E23" s="7">
        <v>45000</v>
      </c>
      <c r="F23" s="100"/>
      <c r="G23" s="7">
        <v>0</v>
      </c>
      <c r="H23" s="100"/>
      <c r="I23" s="7">
        <f t="shared" si="1"/>
        <v>45000</v>
      </c>
      <c r="J23" s="100"/>
      <c r="K23" s="7">
        <v>45000</v>
      </c>
      <c r="L23" s="100"/>
      <c r="M23" s="7">
        <v>50000</v>
      </c>
      <c r="N23" s="748"/>
      <c r="O23" s="749">
        <v>0</v>
      </c>
      <c r="Q23" s="963"/>
    </row>
    <row r="24" spans="1:17" ht="12" customHeight="1">
      <c r="A24" s="101" t="s">
        <v>271</v>
      </c>
      <c r="B24" s="98"/>
      <c r="C24" s="102" t="s">
        <v>121</v>
      </c>
      <c r="D24" s="100"/>
      <c r="E24" s="7">
        <v>258216.95999999999</v>
      </c>
      <c r="F24" s="100"/>
      <c r="G24" s="7">
        <v>0</v>
      </c>
      <c r="H24" s="100"/>
      <c r="I24" s="7">
        <f t="shared" si="1"/>
        <v>267226</v>
      </c>
      <c r="J24" s="100"/>
      <c r="K24" s="7">
        <v>267226</v>
      </c>
      <c r="L24" s="100"/>
      <c r="M24" s="7">
        <v>292314</v>
      </c>
      <c r="N24" s="748"/>
      <c r="O24" s="749">
        <v>0</v>
      </c>
      <c r="Q24" s="963"/>
    </row>
    <row r="25" spans="1:17" ht="12" customHeight="1">
      <c r="A25" s="101" t="s">
        <v>278</v>
      </c>
      <c r="B25" s="108"/>
      <c r="C25" s="102" t="s">
        <v>258</v>
      </c>
      <c r="D25" s="100"/>
      <c r="E25" s="7"/>
      <c r="F25" s="100"/>
      <c r="G25" s="7"/>
      <c r="H25" s="100"/>
      <c r="I25" s="7"/>
      <c r="J25" s="100"/>
      <c r="K25" s="7"/>
      <c r="L25" s="100"/>
      <c r="M25" s="7"/>
      <c r="N25" s="748"/>
      <c r="O25" s="749"/>
      <c r="Q25" s="963"/>
    </row>
    <row r="26" spans="1:17" ht="12" customHeight="1">
      <c r="A26" s="101" t="s">
        <v>279</v>
      </c>
      <c r="B26" s="108"/>
      <c r="C26" s="102"/>
      <c r="D26" s="100"/>
      <c r="E26" s="7">
        <v>257471.82</v>
      </c>
      <c r="F26" s="100"/>
      <c r="G26" s="7">
        <v>267222.84000000003</v>
      </c>
      <c r="H26" s="100"/>
      <c r="I26" s="7">
        <f t="shared" ref="I26:I36" si="2">K26-G26</f>
        <v>3.1599999999743886</v>
      </c>
      <c r="J26" s="100"/>
      <c r="K26" s="7">
        <v>267226</v>
      </c>
      <c r="L26" s="100"/>
      <c r="M26" s="7">
        <v>292314</v>
      </c>
      <c r="N26" s="748"/>
      <c r="O26" s="749">
        <v>0</v>
      </c>
      <c r="Q26" s="963"/>
    </row>
    <row r="27" spans="1:17" ht="12" customHeight="1">
      <c r="A27" s="101" t="s">
        <v>280</v>
      </c>
      <c r="B27" s="108"/>
      <c r="C27" s="102"/>
      <c r="D27" s="100"/>
      <c r="E27" s="7">
        <v>0</v>
      </c>
      <c r="F27" s="100"/>
      <c r="G27" s="7">
        <v>27000</v>
      </c>
      <c r="H27" s="100"/>
      <c r="I27" s="7">
        <f t="shared" si="2"/>
        <v>0</v>
      </c>
      <c r="J27" s="100"/>
      <c r="K27" s="7">
        <v>27000</v>
      </c>
      <c r="L27" s="100"/>
      <c r="M27" s="7">
        <v>0</v>
      </c>
      <c r="N27" s="748"/>
      <c r="O27" s="749">
        <v>0</v>
      </c>
      <c r="Q27" s="963"/>
    </row>
    <row r="28" spans="1:17" ht="12" customHeight="1">
      <c r="A28" s="101" t="s">
        <v>272</v>
      </c>
      <c r="B28" s="98"/>
      <c r="C28" s="102" t="s">
        <v>122</v>
      </c>
      <c r="D28" s="100"/>
      <c r="E28" s="7">
        <v>362501.28</v>
      </c>
      <c r="F28" s="100"/>
      <c r="G28" s="7">
        <v>192400.44</v>
      </c>
      <c r="H28" s="100"/>
      <c r="I28" s="7">
        <f t="shared" si="2"/>
        <v>192405.56</v>
      </c>
      <c r="J28" s="100"/>
      <c r="K28" s="7">
        <v>384806</v>
      </c>
      <c r="L28" s="100"/>
      <c r="M28" s="7">
        <v>420933</v>
      </c>
      <c r="N28" s="748"/>
      <c r="O28" s="749">
        <v>0</v>
      </c>
      <c r="Q28" s="963"/>
    </row>
    <row r="29" spans="1:17" ht="12" customHeight="1">
      <c r="A29" s="101" t="s">
        <v>273</v>
      </c>
      <c r="B29" s="98"/>
      <c r="C29" s="102" t="s">
        <v>123</v>
      </c>
      <c r="D29" s="100"/>
      <c r="E29" s="7">
        <v>60416.88</v>
      </c>
      <c r="F29" s="100"/>
      <c r="G29" s="7">
        <v>9685.7000000000007</v>
      </c>
      <c r="H29" s="100"/>
      <c r="I29" s="7">
        <f t="shared" si="2"/>
        <v>54490.3</v>
      </c>
      <c r="J29" s="100"/>
      <c r="K29" s="7">
        <v>64176</v>
      </c>
      <c r="L29" s="100"/>
      <c r="M29" s="7">
        <v>12000</v>
      </c>
      <c r="N29" s="748"/>
      <c r="O29" s="749">
        <v>0</v>
      </c>
      <c r="Q29" s="963"/>
    </row>
    <row r="30" spans="1:17" ht="12" customHeight="1">
      <c r="A30" s="101" t="s">
        <v>274</v>
      </c>
      <c r="B30" s="98"/>
      <c r="C30" s="102" t="s">
        <v>124</v>
      </c>
      <c r="D30" s="100"/>
      <c r="E30" s="7">
        <v>42060.480000000003</v>
      </c>
      <c r="F30" s="100"/>
      <c r="G30" s="7">
        <v>23822.05</v>
      </c>
      <c r="H30" s="100"/>
      <c r="I30" s="7">
        <f t="shared" si="2"/>
        <v>40353.949999999997</v>
      </c>
      <c r="J30" s="100"/>
      <c r="K30" s="7">
        <v>64176</v>
      </c>
      <c r="L30" s="100"/>
      <c r="M30" s="7">
        <v>78984</v>
      </c>
      <c r="N30" s="748"/>
      <c r="O30" s="749">
        <v>0</v>
      </c>
      <c r="Q30" s="963"/>
    </row>
    <row r="31" spans="1:17" ht="12" customHeight="1">
      <c r="A31" s="101" t="s">
        <v>275</v>
      </c>
      <c r="B31" s="98"/>
      <c r="C31" s="102" t="s">
        <v>125</v>
      </c>
      <c r="D31" s="100"/>
      <c r="E31" s="7">
        <v>10200</v>
      </c>
      <c r="F31" s="100"/>
      <c r="G31" s="7">
        <v>5400</v>
      </c>
      <c r="H31" s="100"/>
      <c r="I31" s="7">
        <f t="shared" si="2"/>
        <v>5400</v>
      </c>
      <c r="J31" s="100"/>
      <c r="K31" s="7">
        <v>10800</v>
      </c>
      <c r="L31" s="100"/>
      <c r="M31" s="7">
        <v>12000</v>
      </c>
      <c r="N31" s="748"/>
      <c r="O31" s="749">
        <v>0</v>
      </c>
      <c r="Q31" s="963"/>
    </row>
    <row r="32" spans="1:17" ht="12" customHeight="1">
      <c r="A32" s="101" t="s">
        <v>276</v>
      </c>
      <c r="B32" s="108"/>
      <c r="C32" s="102" t="s">
        <v>161</v>
      </c>
      <c r="D32" s="100"/>
      <c r="E32" s="7"/>
      <c r="F32" s="100"/>
      <c r="G32" s="7"/>
      <c r="H32" s="100"/>
      <c r="I32" s="7">
        <f t="shared" si="2"/>
        <v>0</v>
      </c>
      <c r="J32" s="100"/>
      <c r="K32" s="7">
        <v>0</v>
      </c>
      <c r="L32" s="100"/>
      <c r="M32" s="7">
        <v>0</v>
      </c>
      <c r="N32" s="748"/>
      <c r="O32" s="749">
        <v>0</v>
      </c>
      <c r="P32" s="963"/>
    </row>
    <row r="33" spans="1:18" ht="12" customHeight="1">
      <c r="A33" s="101" t="s">
        <v>292</v>
      </c>
      <c r="B33" s="108"/>
      <c r="C33" s="102"/>
      <c r="D33" s="100"/>
      <c r="E33" s="7">
        <v>0</v>
      </c>
      <c r="F33" s="100"/>
      <c r="G33" s="7">
        <v>0</v>
      </c>
      <c r="H33" s="100"/>
      <c r="I33" s="7">
        <f t="shared" si="2"/>
        <v>0</v>
      </c>
      <c r="J33" s="100"/>
      <c r="K33" s="7">
        <v>0</v>
      </c>
      <c r="L33" s="100"/>
      <c r="M33" s="7">
        <v>156992</v>
      </c>
      <c r="N33" s="748"/>
      <c r="O33" s="749">
        <v>0</v>
      </c>
    </row>
    <row r="34" spans="1:18" ht="12" customHeight="1">
      <c r="A34" s="101" t="s">
        <v>260</v>
      </c>
      <c r="B34" s="108"/>
      <c r="C34" s="102"/>
      <c r="D34" s="100"/>
      <c r="E34" s="7">
        <v>45000</v>
      </c>
      <c r="F34" s="100"/>
      <c r="G34" s="7">
        <v>0</v>
      </c>
      <c r="H34" s="100"/>
      <c r="I34" s="7">
        <f t="shared" ref="I34" si="3">K34-G34</f>
        <v>45000</v>
      </c>
      <c r="J34" s="100"/>
      <c r="K34" s="7">
        <v>45000</v>
      </c>
      <c r="L34" s="100"/>
      <c r="M34" s="7">
        <v>50000</v>
      </c>
      <c r="N34" s="748"/>
      <c r="O34" s="749">
        <v>0</v>
      </c>
      <c r="Q34" s="963"/>
    </row>
    <row r="35" spans="1:18" ht="12" customHeight="1">
      <c r="A35" s="101" t="s">
        <v>764</v>
      </c>
      <c r="B35" s="108"/>
      <c r="C35" s="102"/>
      <c r="D35" s="100"/>
      <c r="E35" s="7">
        <v>0</v>
      </c>
      <c r="F35" s="100"/>
      <c r="G35" s="7">
        <v>0</v>
      </c>
      <c r="H35" s="100"/>
      <c r="I35" s="7">
        <f t="shared" si="2"/>
        <v>141662</v>
      </c>
      <c r="J35" s="100"/>
      <c r="K35" s="7">
        <v>141662</v>
      </c>
      <c r="L35" s="100"/>
      <c r="M35" s="7">
        <v>0</v>
      </c>
      <c r="N35" s="748"/>
      <c r="O35" s="749">
        <v>0</v>
      </c>
      <c r="Q35" s="963"/>
    </row>
    <row r="36" spans="1:18" ht="12" customHeight="1">
      <c r="A36" s="101" t="s">
        <v>259</v>
      </c>
      <c r="B36" s="108"/>
      <c r="C36" s="102"/>
      <c r="D36" s="100"/>
      <c r="E36" s="105">
        <v>0</v>
      </c>
      <c r="F36" s="100"/>
      <c r="G36" s="105">
        <v>0</v>
      </c>
      <c r="H36" s="100"/>
      <c r="I36" s="7">
        <f t="shared" si="2"/>
        <v>5000</v>
      </c>
      <c r="J36" s="100"/>
      <c r="K36" s="105">
        <v>5000</v>
      </c>
      <c r="L36" s="104"/>
      <c r="M36" s="105">
        <v>5000</v>
      </c>
      <c r="N36" s="748"/>
      <c r="O36" s="749">
        <v>0</v>
      </c>
      <c r="Q36" s="963"/>
    </row>
    <row r="37" spans="1:18" ht="12" customHeight="1">
      <c r="A37" s="1325" t="s">
        <v>14</v>
      </c>
      <c r="B37" s="1340"/>
      <c r="C37" s="102"/>
      <c r="D37" s="144" t="s">
        <v>15</v>
      </c>
      <c r="E37" s="174">
        <f>SUM(E16:E36)</f>
        <v>4505511.26</v>
      </c>
      <c r="F37" s="144" t="s">
        <v>15</v>
      </c>
      <c r="G37" s="174">
        <f>SUM(G16:G36)</f>
        <v>2362007.25</v>
      </c>
      <c r="H37" s="144" t="s">
        <v>15</v>
      </c>
      <c r="I37" s="174">
        <f>SUM(I16:I36)</f>
        <v>2598776.7500000005</v>
      </c>
      <c r="J37" s="144" t="s">
        <v>15</v>
      </c>
      <c r="K37" s="174">
        <f>SUM(K16:K36)</f>
        <v>4960784</v>
      </c>
      <c r="L37" s="144" t="s">
        <v>15</v>
      </c>
      <c r="M37" s="174">
        <f>SUM(M16:M36)</f>
        <v>5340305</v>
      </c>
      <c r="N37" s="144" t="s">
        <v>15</v>
      </c>
      <c r="O37" s="174">
        <f>SUM(O16:O36)</f>
        <v>0</v>
      </c>
      <c r="Q37" s="963"/>
    </row>
    <row r="38" spans="1:18" ht="12" customHeight="1">
      <c r="A38" s="97" t="s">
        <v>282</v>
      </c>
      <c r="B38" s="98"/>
      <c r="C38" s="102"/>
      <c r="D38" s="116"/>
      <c r="E38" s="117"/>
      <c r="F38" s="116"/>
      <c r="G38" s="117"/>
      <c r="H38" s="116"/>
      <c r="I38" s="117"/>
      <c r="J38" s="116"/>
      <c r="K38" s="117"/>
      <c r="L38" s="116"/>
      <c r="M38" s="117"/>
      <c r="N38" s="116"/>
      <c r="O38" s="117"/>
    </row>
    <row r="39" spans="1:18" ht="12" customHeight="1">
      <c r="A39" s="101" t="s">
        <v>41</v>
      </c>
      <c r="B39" s="98"/>
      <c r="C39" s="102" t="s">
        <v>126</v>
      </c>
      <c r="D39" s="111" t="s">
        <v>15</v>
      </c>
      <c r="E39" s="7">
        <v>51882</v>
      </c>
      <c r="F39" s="111" t="s">
        <v>15</v>
      </c>
      <c r="G39" s="7">
        <v>107990</v>
      </c>
      <c r="H39" s="111" t="s">
        <v>15</v>
      </c>
      <c r="I39" s="7">
        <f t="shared" ref="I39:I47" si="4">K39-G39</f>
        <v>202010</v>
      </c>
      <c r="J39" s="111" t="s">
        <v>15</v>
      </c>
      <c r="K39" s="7">
        <f>180000+30000+100000</f>
        <v>310000</v>
      </c>
      <c r="L39" s="100" t="s">
        <v>15</v>
      </c>
      <c r="M39" s="7">
        <v>150000</v>
      </c>
      <c r="N39" s="104" t="s">
        <v>15</v>
      </c>
      <c r="O39" s="105">
        <f>M39-K39</f>
        <v>-160000</v>
      </c>
      <c r="P39" s="963">
        <f>M39-K39</f>
        <v>-160000</v>
      </c>
      <c r="Q39" s="963">
        <f>M39*0.1</f>
        <v>15000</v>
      </c>
    </row>
    <row r="40" spans="1:18" ht="12" customHeight="1">
      <c r="A40" s="101" t="s">
        <v>42</v>
      </c>
      <c r="B40" s="98"/>
      <c r="C40" s="102" t="s">
        <v>127</v>
      </c>
      <c r="D40" s="111"/>
      <c r="E40" s="7">
        <v>63000</v>
      </c>
      <c r="F40" s="111"/>
      <c r="G40" s="7">
        <v>58379</v>
      </c>
      <c r="H40" s="111"/>
      <c r="I40" s="7">
        <f t="shared" si="4"/>
        <v>141621</v>
      </c>
      <c r="J40" s="111"/>
      <c r="K40" s="7">
        <v>200000</v>
      </c>
      <c r="L40" s="100"/>
      <c r="M40" s="7">
        <v>122000</v>
      </c>
      <c r="N40" s="748"/>
      <c r="O40" s="105">
        <f t="shared" ref="O40:O59" si="5">M40-K40</f>
        <v>-78000</v>
      </c>
      <c r="P40" s="963">
        <f t="shared" ref="P40:P56" si="6">M40-K40</f>
        <v>-78000</v>
      </c>
      <c r="Q40" s="963">
        <f t="shared" ref="Q40:Q59" si="7">M40*0.1</f>
        <v>12200</v>
      </c>
    </row>
    <row r="41" spans="1:18" ht="12" customHeight="1">
      <c r="A41" s="101" t="s">
        <v>28</v>
      </c>
      <c r="B41" s="98"/>
      <c r="C41" s="102" t="s">
        <v>128</v>
      </c>
      <c r="D41" s="111"/>
      <c r="E41" s="7">
        <v>351622</v>
      </c>
      <c r="F41" s="111"/>
      <c r="G41" s="7">
        <v>118649</v>
      </c>
      <c r="H41" s="111"/>
      <c r="I41" s="7">
        <f t="shared" si="4"/>
        <v>740601</v>
      </c>
      <c r="J41" s="111"/>
      <c r="K41" s="7">
        <f>850000+5000+4250</f>
        <v>859250</v>
      </c>
      <c r="L41" s="100"/>
      <c r="M41" s="7">
        <v>955000</v>
      </c>
      <c r="N41" s="748"/>
      <c r="O41" s="105">
        <f t="shared" si="5"/>
        <v>95750</v>
      </c>
      <c r="P41" s="963">
        <f t="shared" si="6"/>
        <v>95750</v>
      </c>
      <c r="Q41" s="963">
        <f t="shared" si="7"/>
        <v>95500</v>
      </c>
    </row>
    <row r="42" spans="1:18" ht="12" customHeight="1">
      <c r="A42" s="101" t="s">
        <v>130</v>
      </c>
      <c r="B42" s="98"/>
      <c r="C42" s="102" t="s">
        <v>129</v>
      </c>
      <c r="D42" s="100"/>
      <c r="E42" s="7">
        <v>110283.95</v>
      </c>
      <c r="F42" s="111"/>
      <c r="G42" s="7">
        <v>34497.82</v>
      </c>
      <c r="H42" s="111"/>
      <c r="I42" s="7">
        <f t="shared" si="4"/>
        <v>139502.18</v>
      </c>
      <c r="J42" s="111"/>
      <c r="K42" s="7">
        <f>150000+9000+15000</f>
        <v>174000</v>
      </c>
      <c r="L42" s="100"/>
      <c r="M42" s="7">
        <v>150000</v>
      </c>
      <c r="N42" s="748"/>
      <c r="O42" s="105">
        <f t="shared" si="5"/>
        <v>-24000</v>
      </c>
      <c r="P42" s="963">
        <f t="shared" si="6"/>
        <v>-24000</v>
      </c>
      <c r="Q42" s="963">
        <f t="shared" si="7"/>
        <v>15000</v>
      </c>
      <c r="R42" s="961" t="s">
        <v>487</v>
      </c>
    </row>
    <row r="43" spans="1:18" ht="12" customHeight="1">
      <c r="A43" s="101" t="s">
        <v>497</v>
      </c>
      <c r="B43" s="98"/>
      <c r="C43" s="102" t="s">
        <v>174</v>
      </c>
      <c r="D43" s="111"/>
      <c r="E43" s="7">
        <v>57350.45</v>
      </c>
      <c r="F43" s="111"/>
      <c r="G43" s="7">
        <v>15336</v>
      </c>
      <c r="H43" s="111"/>
      <c r="I43" s="7">
        <f t="shared" si="4"/>
        <v>23664</v>
      </c>
      <c r="J43" s="111"/>
      <c r="K43" s="7">
        <f>35000+4000</f>
        <v>39000</v>
      </c>
      <c r="L43" s="100"/>
      <c r="M43" s="7">
        <v>20000</v>
      </c>
      <c r="N43" s="748"/>
      <c r="O43" s="105">
        <f t="shared" si="5"/>
        <v>-19000</v>
      </c>
      <c r="P43" s="963">
        <f t="shared" si="6"/>
        <v>-19000</v>
      </c>
      <c r="Q43" s="963">
        <f t="shared" si="7"/>
        <v>2000</v>
      </c>
    </row>
    <row r="44" spans="1:18" ht="12" customHeight="1">
      <c r="A44" s="101" t="s">
        <v>132</v>
      </c>
      <c r="B44" s="98"/>
      <c r="C44" s="102" t="s">
        <v>131</v>
      </c>
      <c r="D44" s="111"/>
      <c r="E44" s="7">
        <v>0</v>
      </c>
      <c r="F44" s="111"/>
      <c r="G44" s="7">
        <v>0</v>
      </c>
      <c r="H44" s="111"/>
      <c r="I44" s="7">
        <f t="shared" si="4"/>
        <v>3000</v>
      </c>
      <c r="J44" s="111"/>
      <c r="K44" s="7">
        <v>3000</v>
      </c>
      <c r="L44" s="100"/>
      <c r="M44" s="7">
        <v>1000</v>
      </c>
      <c r="N44" s="748"/>
      <c r="O44" s="105">
        <f t="shared" si="5"/>
        <v>-2000</v>
      </c>
      <c r="P44" s="963">
        <f t="shared" si="6"/>
        <v>-2000</v>
      </c>
      <c r="Q44" s="963">
        <f t="shared" si="7"/>
        <v>100</v>
      </c>
    </row>
    <row r="45" spans="1:18" ht="12" customHeight="1">
      <c r="A45" s="101" t="s">
        <v>163</v>
      </c>
      <c r="B45" s="98"/>
      <c r="C45" s="118" t="s">
        <v>133</v>
      </c>
      <c r="D45" s="100"/>
      <c r="E45" s="7">
        <v>26865.13</v>
      </c>
      <c r="F45" s="111"/>
      <c r="G45" s="7">
        <v>15000</v>
      </c>
      <c r="H45" s="111"/>
      <c r="I45" s="7">
        <f t="shared" si="4"/>
        <v>25000</v>
      </c>
      <c r="J45" s="111"/>
      <c r="K45" s="7">
        <v>40000</v>
      </c>
      <c r="L45" s="100"/>
      <c r="M45" s="7">
        <v>40000</v>
      </c>
      <c r="N45" s="748"/>
      <c r="O45" s="105">
        <f t="shared" si="5"/>
        <v>0</v>
      </c>
      <c r="P45" s="963">
        <f t="shared" si="6"/>
        <v>0</v>
      </c>
      <c r="Q45" s="963">
        <f t="shared" si="7"/>
        <v>4000</v>
      </c>
    </row>
    <row r="46" spans="1:18" ht="12" customHeight="1">
      <c r="A46" s="101" t="s">
        <v>135</v>
      </c>
      <c r="B46" s="98"/>
      <c r="C46" s="102" t="s">
        <v>134</v>
      </c>
      <c r="D46" s="100"/>
      <c r="E46" s="7">
        <v>35251.35</v>
      </c>
      <c r="F46" s="100"/>
      <c r="G46" s="7">
        <v>14070.83</v>
      </c>
      <c r="H46" s="100"/>
      <c r="I46" s="7">
        <f t="shared" si="4"/>
        <v>21929.17</v>
      </c>
      <c r="J46" s="100"/>
      <c r="K46" s="7">
        <v>36000</v>
      </c>
      <c r="L46" s="100"/>
      <c r="M46" s="7">
        <v>36000</v>
      </c>
      <c r="N46" s="748"/>
      <c r="O46" s="105">
        <f t="shared" si="5"/>
        <v>0</v>
      </c>
      <c r="P46" s="963">
        <f t="shared" si="6"/>
        <v>0</v>
      </c>
      <c r="Q46" s="963">
        <f t="shared" si="7"/>
        <v>3600</v>
      </c>
    </row>
    <row r="47" spans="1:18" ht="12" customHeight="1">
      <c r="A47" s="101" t="s">
        <v>138</v>
      </c>
      <c r="B47" s="98"/>
      <c r="C47" s="102" t="s">
        <v>137</v>
      </c>
      <c r="D47" s="100"/>
      <c r="E47" s="7">
        <v>4500</v>
      </c>
      <c r="F47" s="111"/>
      <c r="G47" s="7">
        <v>7600</v>
      </c>
      <c r="H47" s="111"/>
      <c r="I47" s="7">
        <f t="shared" si="4"/>
        <v>1900</v>
      </c>
      <c r="J47" s="111"/>
      <c r="K47" s="7">
        <f>7500+1000+1000</f>
        <v>9500</v>
      </c>
      <c r="L47" s="100"/>
      <c r="M47" s="7">
        <v>5000</v>
      </c>
      <c r="N47" s="748"/>
      <c r="O47" s="105">
        <f t="shared" si="5"/>
        <v>-4500</v>
      </c>
      <c r="P47" s="963"/>
      <c r="Q47" s="963">
        <f t="shared" si="7"/>
        <v>500</v>
      </c>
    </row>
    <row r="48" spans="1:18" ht="12" customHeight="1">
      <c r="A48" s="101" t="s">
        <v>142</v>
      </c>
      <c r="B48" s="98"/>
      <c r="C48" s="102" t="s">
        <v>141</v>
      </c>
      <c r="D48" s="100"/>
      <c r="E48" s="7">
        <v>0</v>
      </c>
      <c r="F48" s="111"/>
      <c r="G48" s="7">
        <v>0</v>
      </c>
      <c r="H48" s="111"/>
      <c r="I48" s="7">
        <f t="shared" ref="I48:I55" si="8">K48-G48</f>
        <v>15000</v>
      </c>
      <c r="J48" s="111"/>
      <c r="K48" s="7">
        <v>15000</v>
      </c>
      <c r="L48" s="100"/>
      <c r="M48" s="7">
        <v>7000</v>
      </c>
      <c r="N48" s="748"/>
      <c r="O48" s="105">
        <f t="shared" si="5"/>
        <v>-8000</v>
      </c>
      <c r="P48" s="963">
        <f t="shared" si="6"/>
        <v>-8000</v>
      </c>
      <c r="Q48" s="963">
        <f t="shared" si="7"/>
        <v>700</v>
      </c>
    </row>
    <row r="49" spans="1:17" ht="12" customHeight="1">
      <c r="A49" s="101" t="s">
        <v>30</v>
      </c>
      <c r="B49" s="98"/>
      <c r="C49" s="102" t="s">
        <v>143</v>
      </c>
      <c r="D49" s="100"/>
      <c r="E49" s="7">
        <v>0</v>
      </c>
      <c r="F49" s="111"/>
      <c r="G49" s="7">
        <v>0</v>
      </c>
      <c r="H49" s="111"/>
      <c r="I49" s="7">
        <f t="shared" si="8"/>
        <v>5000</v>
      </c>
      <c r="J49" s="111"/>
      <c r="K49" s="7">
        <v>5000</v>
      </c>
      <c r="L49" s="100"/>
      <c r="M49" s="7">
        <v>4000</v>
      </c>
      <c r="N49" s="748"/>
      <c r="O49" s="105">
        <f t="shared" si="5"/>
        <v>-1000</v>
      </c>
      <c r="P49" s="963">
        <f t="shared" si="6"/>
        <v>-1000</v>
      </c>
      <c r="Q49" s="963">
        <f t="shared" si="7"/>
        <v>400</v>
      </c>
    </row>
    <row r="50" spans="1:17" ht="12" customHeight="1">
      <c r="A50" s="101" t="s">
        <v>145</v>
      </c>
      <c r="B50" s="98"/>
      <c r="C50" s="102" t="s">
        <v>144</v>
      </c>
      <c r="D50" s="100"/>
      <c r="E50" s="7">
        <v>5295</v>
      </c>
      <c r="F50" s="111"/>
      <c r="G50" s="7">
        <v>0</v>
      </c>
      <c r="H50" s="111"/>
      <c r="I50" s="7">
        <f t="shared" si="8"/>
        <v>50000</v>
      </c>
      <c r="J50" s="111"/>
      <c r="K50" s="7">
        <v>50000</v>
      </c>
      <c r="L50" s="100"/>
      <c r="M50" s="7">
        <v>40000</v>
      </c>
      <c r="N50" s="748"/>
      <c r="O50" s="105">
        <f t="shared" si="5"/>
        <v>-10000</v>
      </c>
      <c r="P50" s="963">
        <f t="shared" si="6"/>
        <v>-10000</v>
      </c>
      <c r="Q50" s="963">
        <f t="shared" si="7"/>
        <v>4000</v>
      </c>
    </row>
    <row r="51" spans="1:17" ht="12" customHeight="1">
      <c r="A51" s="101" t="s">
        <v>33</v>
      </c>
      <c r="B51" s="119"/>
      <c r="C51" s="102" t="s">
        <v>148</v>
      </c>
      <c r="D51" s="100"/>
      <c r="E51" s="7"/>
      <c r="F51" s="111"/>
      <c r="G51" s="7"/>
      <c r="H51" s="111"/>
      <c r="I51" s="7">
        <f t="shared" si="8"/>
        <v>0</v>
      </c>
      <c r="J51" s="111"/>
      <c r="K51" s="7">
        <v>0</v>
      </c>
      <c r="L51" s="100"/>
      <c r="M51" s="7"/>
      <c r="N51" s="748"/>
      <c r="O51" s="749">
        <v>0</v>
      </c>
      <c r="P51" s="963">
        <f t="shared" si="6"/>
        <v>0</v>
      </c>
      <c r="Q51" s="963">
        <f t="shared" si="7"/>
        <v>0</v>
      </c>
    </row>
    <row r="52" spans="1:17" ht="12" customHeight="1">
      <c r="A52" s="101"/>
      <c r="B52" s="7" t="s">
        <v>342</v>
      </c>
      <c r="C52" s="102"/>
      <c r="D52" s="100"/>
      <c r="E52" s="7">
        <v>729495.4</v>
      </c>
      <c r="F52" s="111"/>
      <c r="G52" s="7">
        <v>383388.98</v>
      </c>
      <c r="H52" s="111"/>
      <c r="I52" s="7">
        <f t="shared" si="8"/>
        <v>491611.02</v>
      </c>
      <c r="J52" s="111"/>
      <c r="K52" s="7">
        <v>875000</v>
      </c>
      <c r="L52" s="100"/>
      <c r="M52" s="7">
        <f>98000+1066000</f>
        <v>1164000</v>
      </c>
      <c r="N52" s="748"/>
      <c r="O52" s="105">
        <f t="shared" si="5"/>
        <v>289000</v>
      </c>
      <c r="P52" s="963">
        <f t="shared" si="6"/>
        <v>289000</v>
      </c>
      <c r="Q52" s="963">
        <f t="shared" si="7"/>
        <v>116400</v>
      </c>
    </row>
    <row r="53" spans="1:17" ht="12" customHeight="1">
      <c r="A53" s="101"/>
      <c r="B53" s="7" t="s">
        <v>495</v>
      </c>
      <c r="C53" s="102"/>
      <c r="D53" s="100"/>
      <c r="E53" s="7">
        <v>0</v>
      </c>
      <c r="F53" s="111"/>
      <c r="G53" s="7">
        <v>0</v>
      </c>
      <c r="H53" s="111"/>
      <c r="I53" s="7">
        <f t="shared" si="8"/>
        <v>20000</v>
      </c>
      <c r="J53" s="111"/>
      <c r="K53" s="7">
        <v>20000</v>
      </c>
      <c r="L53" s="100"/>
      <c r="M53" s="7">
        <v>15000</v>
      </c>
      <c r="N53" s="748"/>
      <c r="O53" s="105">
        <f t="shared" si="5"/>
        <v>-5000</v>
      </c>
      <c r="P53" s="963">
        <f t="shared" si="6"/>
        <v>-5000</v>
      </c>
      <c r="Q53" s="963">
        <f t="shared" si="7"/>
        <v>1500</v>
      </c>
    </row>
    <row r="54" spans="1:17" ht="12" customHeight="1">
      <c r="A54" s="101"/>
      <c r="B54" s="7" t="s">
        <v>499</v>
      </c>
      <c r="C54" s="102"/>
      <c r="D54" s="100"/>
      <c r="E54" s="7">
        <v>0</v>
      </c>
      <c r="F54" s="111"/>
      <c r="G54" s="7">
        <v>11000</v>
      </c>
      <c r="H54" s="111"/>
      <c r="I54" s="7">
        <f t="shared" si="8"/>
        <v>29000</v>
      </c>
      <c r="J54" s="111"/>
      <c r="K54" s="7">
        <v>40000</v>
      </c>
      <c r="L54" s="100"/>
      <c r="M54" s="7">
        <v>25000</v>
      </c>
      <c r="N54" s="748"/>
      <c r="O54" s="105">
        <f t="shared" si="5"/>
        <v>-15000</v>
      </c>
      <c r="P54" s="963">
        <f t="shared" si="6"/>
        <v>-15000</v>
      </c>
      <c r="Q54" s="963">
        <f t="shared" si="7"/>
        <v>2500</v>
      </c>
    </row>
    <row r="55" spans="1:17" ht="12" customHeight="1">
      <c r="A55" s="101"/>
      <c r="B55" s="7" t="s">
        <v>498</v>
      </c>
      <c r="C55" s="102"/>
      <c r="D55" s="100"/>
      <c r="E55" s="7">
        <v>600</v>
      </c>
      <c r="F55" s="111"/>
      <c r="G55" s="7">
        <v>0</v>
      </c>
      <c r="H55" s="111"/>
      <c r="I55" s="7">
        <f t="shared" si="8"/>
        <v>3000</v>
      </c>
      <c r="J55" s="111"/>
      <c r="K55" s="7">
        <v>3000</v>
      </c>
      <c r="L55" s="100"/>
      <c r="M55" s="7">
        <v>2000</v>
      </c>
      <c r="N55" s="748"/>
      <c r="O55" s="105">
        <f t="shared" si="5"/>
        <v>-1000</v>
      </c>
      <c r="P55" s="963">
        <f t="shared" si="6"/>
        <v>-1000</v>
      </c>
      <c r="Q55" s="963">
        <f t="shared" si="7"/>
        <v>200</v>
      </c>
    </row>
    <row r="56" spans="1:17" ht="12" customHeight="1">
      <c r="A56" s="101"/>
      <c r="B56" s="7" t="s">
        <v>303</v>
      </c>
      <c r="C56" s="102"/>
      <c r="D56" s="100"/>
      <c r="E56" s="7">
        <v>0</v>
      </c>
      <c r="F56" s="111"/>
      <c r="G56" s="7">
        <v>0</v>
      </c>
      <c r="H56" s="111"/>
      <c r="I56" s="7">
        <f>K56-G56</f>
        <v>0</v>
      </c>
      <c r="J56" s="111"/>
      <c r="K56" s="7">
        <v>0</v>
      </c>
      <c r="L56" s="100"/>
      <c r="M56" s="7">
        <v>0</v>
      </c>
      <c r="N56" s="748"/>
      <c r="O56" s="105">
        <f t="shared" si="5"/>
        <v>0</v>
      </c>
      <c r="P56" s="963">
        <f t="shared" si="6"/>
        <v>0</v>
      </c>
      <c r="Q56" s="963">
        <f t="shared" si="7"/>
        <v>0</v>
      </c>
    </row>
    <row r="57" spans="1:17" ht="12" customHeight="1">
      <c r="A57" s="101"/>
      <c r="B57" s="157" t="s">
        <v>510</v>
      </c>
      <c r="C57" s="102"/>
      <c r="D57" s="100"/>
      <c r="E57" s="7">
        <v>0</v>
      </c>
      <c r="F57" s="111"/>
      <c r="G57" s="7">
        <v>0</v>
      </c>
      <c r="H57" s="111"/>
      <c r="I57" s="7">
        <f>K57-G57</f>
        <v>30000</v>
      </c>
      <c r="J57" s="111"/>
      <c r="K57" s="7">
        <f>15000+15000</f>
        <v>30000</v>
      </c>
      <c r="L57" s="100"/>
      <c r="M57" s="7">
        <v>15000</v>
      </c>
      <c r="N57" s="748"/>
      <c r="O57" s="105">
        <f t="shared" si="5"/>
        <v>-15000</v>
      </c>
      <c r="P57" s="963"/>
      <c r="Q57" s="963">
        <f t="shared" si="7"/>
        <v>1500</v>
      </c>
    </row>
    <row r="58" spans="1:17" ht="12" customHeight="1">
      <c r="A58" s="101"/>
      <c r="B58" s="157" t="s">
        <v>1185</v>
      </c>
      <c r="C58" s="102"/>
      <c r="D58" s="100"/>
      <c r="E58" s="7">
        <v>0</v>
      </c>
      <c r="F58" s="111"/>
      <c r="G58" s="7">
        <v>10000</v>
      </c>
      <c r="H58" s="111"/>
      <c r="I58" s="7">
        <f>K58-G58</f>
        <v>86000</v>
      </c>
      <c r="J58" s="111"/>
      <c r="K58" s="7">
        <f>36000+60000</f>
        <v>96000</v>
      </c>
      <c r="L58" s="100"/>
      <c r="M58" s="7">
        <v>55000</v>
      </c>
      <c r="N58" s="748"/>
      <c r="O58" s="105">
        <f t="shared" si="5"/>
        <v>-41000</v>
      </c>
      <c r="P58" s="963"/>
      <c r="Q58" s="963">
        <f t="shared" si="7"/>
        <v>5500</v>
      </c>
    </row>
    <row r="59" spans="1:17" ht="12" customHeight="1">
      <c r="A59" s="101"/>
      <c r="B59" s="157" t="s">
        <v>743</v>
      </c>
      <c r="C59" s="102"/>
      <c r="D59" s="100"/>
      <c r="E59" s="7">
        <v>342706.45</v>
      </c>
      <c r="F59" s="111"/>
      <c r="G59" s="7">
        <v>208806</v>
      </c>
      <c r="H59" s="111"/>
      <c r="I59" s="7">
        <f>K59-G59</f>
        <v>395944</v>
      </c>
      <c r="J59" s="111"/>
      <c r="K59" s="105">
        <f>450000+50000+104750</f>
        <v>604750</v>
      </c>
      <c r="L59" s="104"/>
      <c r="M59" s="105">
        <v>400000</v>
      </c>
      <c r="N59" s="748"/>
      <c r="O59" s="105">
        <f t="shared" si="5"/>
        <v>-204750</v>
      </c>
      <c r="P59" s="963"/>
      <c r="Q59" s="963">
        <f t="shared" si="7"/>
        <v>40000</v>
      </c>
    </row>
    <row r="60" spans="1:17" ht="12" customHeight="1">
      <c r="A60" s="1325" t="s">
        <v>13</v>
      </c>
      <c r="B60" s="1340"/>
      <c r="C60" s="102"/>
      <c r="D60" s="109" t="s">
        <v>15</v>
      </c>
      <c r="E60" s="110">
        <f>SUM(E39:E59)</f>
        <v>1778851.7299999997</v>
      </c>
      <c r="F60" s="109" t="s">
        <v>15</v>
      </c>
      <c r="G60" s="110">
        <f>SUM(G39:G59)</f>
        <v>984717.63</v>
      </c>
      <c r="H60" s="109" t="s">
        <v>15</v>
      </c>
      <c r="I60" s="110">
        <f>SUM(I39:I59)</f>
        <v>2424782.37</v>
      </c>
      <c r="J60" s="109" t="s">
        <v>15</v>
      </c>
      <c r="K60" s="110">
        <f>SUM(K39:K59)</f>
        <v>3409500</v>
      </c>
      <c r="L60" s="109" t="s">
        <v>15</v>
      </c>
      <c r="M60" s="110">
        <f>SUM(M39:M59)</f>
        <v>3206000</v>
      </c>
      <c r="N60" s="109" t="s">
        <v>15</v>
      </c>
      <c r="O60" s="110">
        <f>SUM(O39:O59)</f>
        <v>-203500</v>
      </c>
      <c r="P60" s="1033">
        <f>SUM(P39:P56)</f>
        <v>61750</v>
      </c>
    </row>
    <row r="61" spans="1:17" ht="12" customHeight="1">
      <c r="A61" s="121" t="s">
        <v>283</v>
      </c>
      <c r="B61" s="147"/>
      <c r="C61" s="102"/>
      <c r="D61" s="144"/>
      <c r="E61" s="117"/>
      <c r="F61" s="144"/>
      <c r="G61" s="117"/>
      <c r="H61" s="144"/>
      <c r="I61" s="117"/>
      <c r="J61" s="144"/>
      <c r="K61" s="117"/>
      <c r="L61" s="144"/>
      <c r="M61" s="117"/>
      <c r="N61" s="144"/>
      <c r="O61" s="117"/>
    </row>
    <row r="62" spans="1:17" ht="12" customHeight="1">
      <c r="A62" s="124" t="s">
        <v>51</v>
      </c>
      <c r="B62" s="119"/>
      <c r="C62" s="102" t="s">
        <v>149</v>
      </c>
      <c r="D62" s="100" t="s">
        <v>15</v>
      </c>
      <c r="E62" s="7"/>
      <c r="F62" s="100" t="s">
        <v>15</v>
      </c>
      <c r="G62" s="7"/>
      <c r="H62" s="100" t="s">
        <v>15</v>
      </c>
      <c r="I62" s="7">
        <f t="shared" ref="I62:I76" si="9">K62-G62</f>
        <v>0</v>
      </c>
      <c r="J62" s="100" t="s">
        <v>15</v>
      </c>
      <c r="K62" s="7"/>
      <c r="L62" s="100" t="s">
        <v>15</v>
      </c>
      <c r="M62" s="7"/>
      <c r="N62" s="100" t="s">
        <v>15</v>
      </c>
      <c r="O62" s="7"/>
    </row>
    <row r="63" spans="1:17" ht="12" customHeight="1">
      <c r="A63" s="124" t="s">
        <v>326</v>
      </c>
      <c r="B63" s="877"/>
      <c r="C63" s="102"/>
      <c r="D63" s="100"/>
      <c r="E63" s="7"/>
      <c r="F63" s="100"/>
      <c r="G63" s="7">
        <v>0</v>
      </c>
      <c r="H63" s="100"/>
      <c r="I63" s="7">
        <f t="shared" ref="I63" si="10">K63-G63</f>
        <v>50000</v>
      </c>
      <c r="J63" s="100"/>
      <c r="K63" s="7">
        <v>50000</v>
      </c>
      <c r="L63" s="100"/>
      <c r="M63" s="7">
        <v>0</v>
      </c>
      <c r="N63" s="104"/>
      <c r="O63" s="105">
        <v>0</v>
      </c>
    </row>
    <row r="64" spans="1:17" ht="12" customHeight="1">
      <c r="A64" s="124" t="s">
        <v>391</v>
      </c>
      <c r="B64" s="119"/>
      <c r="C64" s="102"/>
      <c r="D64" s="100"/>
      <c r="E64" s="7">
        <v>312099</v>
      </c>
      <c r="F64" s="100"/>
      <c r="G64" s="7">
        <v>0</v>
      </c>
      <c r="H64" s="100"/>
      <c r="I64" s="7">
        <f t="shared" si="9"/>
        <v>0</v>
      </c>
      <c r="J64" s="100"/>
      <c r="K64" s="7">
        <v>0</v>
      </c>
      <c r="L64" s="100"/>
      <c r="M64" s="7">
        <v>0</v>
      </c>
      <c r="N64" s="104"/>
      <c r="O64" s="105">
        <v>0</v>
      </c>
    </row>
    <row r="65" spans="1:15" ht="12" customHeight="1">
      <c r="A65" s="124" t="s">
        <v>152</v>
      </c>
      <c r="B65" s="119"/>
      <c r="C65" s="102" t="s">
        <v>150</v>
      </c>
      <c r="D65" s="122"/>
      <c r="E65" s="7"/>
      <c r="F65" s="122"/>
      <c r="G65" s="7"/>
      <c r="H65" s="122"/>
      <c r="I65" s="7"/>
      <c r="J65" s="122"/>
      <c r="K65" s="7"/>
      <c r="L65" s="122"/>
      <c r="M65" s="7"/>
      <c r="N65" s="109"/>
      <c r="O65" s="749"/>
    </row>
    <row r="66" spans="1:15" ht="12" customHeight="1">
      <c r="A66" s="124" t="s">
        <v>327</v>
      </c>
      <c r="B66" s="119"/>
      <c r="C66" s="102"/>
      <c r="D66" s="122"/>
      <c r="E66" s="7"/>
      <c r="F66" s="122"/>
      <c r="G66" s="7">
        <v>0</v>
      </c>
      <c r="H66" s="122"/>
      <c r="I66" s="7">
        <f t="shared" si="9"/>
        <v>20000</v>
      </c>
      <c r="J66" s="122"/>
      <c r="K66" s="7">
        <v>20000</v>
      </c>
      <c r="L66" s="122"/>
      <c r="M66" s="7">
        <v>0</v>
      </c>
      <c r="N66" s="109"/>
      <c r="O66" s="749">
        <v>0</v>
      </c>
    </row>
    <row r="67" spans="1:15" ht="12" customHeight="1">
      <c r="A67" s="124" t="s">
        <v>392</v>
      </c>
      <c r="B67" s="119"/>
      <c r="C67" s="102"/>
      <c r="D67" s="100"/>
      <c r="E67" s="7"/>
      <c r="F67" s="100"/>
      <c r="G67" s="7">
        <v>0</v>
      </c>
      <c r="H67" s="100"/>
      <c r="I67" s="7">
        <f>K67-G67</f>
        <v>15000</v>
      </c>
      <c r="J67" s="100"/>
      <c r="K67" s="7">
        <v>15000</v>
      </c>
      <c r="L67" s="100"/>
      <c r="M67" s="7">
        <v>0</v>
      </c>
      <c r="N67" s="748"/>
      <c r="O67" s="749">
        <v>0</v>
      </c>
    </row>
    <row r="68" spans="1:15" ht="12" customHeight="1">
      <c r="A68" s="162" t="s">
        <v>328</v>
      </c>
      <c r="B68" s="791"/>
      <c r="C68" s="113"/>
      <c r="D68" s="125"/>
      <c r="E68" s="105">
        <v>40000</v>
      </c>
      <c r="F68" s="125"/>
      <c r="G68" s="105">
        <v>0</v>
      </c>
      <c r="H68" s="125"/>
      <c r="I68" s="105">
        <f t="shared" si="9"/>
        <v>0</v>
      </c>
      <c r="J68" s="125"/>
      <c r="K68" s="105">
        <v>0</v>
      </c>
      <c r="L68" s="125"/>
      <c r="M68" s="105">
        <v>0</v>
      </c>
      <c r="N68" s="109"/>
      <c r="O68" s="749">
        <v>0</v>
      </c>
    </row>
    <row r="69" spans="1:15" ht="12" customHeight="1">
      <c r="A69" s="160"/>
      <c r="B69" s="792"/>
      <c r="C69" s="793"/>
      <c r="D69" s="149"/>
      <c r="E69" s="157"/>
      <c r="F69" s="149"/>
      <c r="G69" s="157"/>
      <c r="H69" s="149"/>
      <c r="I69" s="157"/>
      <c r="J69" s="149"/>
      <c r="K69" s="157"/>
      <c r="L69" s="149"/>
      <c r="M69" s="157"/>
      <c r="N69" s="149"/>
      <c r="O69" s="157"/>
    </row>
    <row r="70" spans="1:15" ht="12" customHeight="1">
      <c r="A70" s="160"/>
      <c r="B70" s="857"/>
      <c r="C70" s="856"/>
      <c r="D70" s="149"/>
      <c r="E70" s="157"/>
      <c r="F70" s="149"/>
      <c r="G70" s="157"/>
      <c r="H70" s="149"/>
      <c r="I70" s="157"/>
      <c r="J70" s="149"/>
      <c r="K70" s="157"/>
      <c r="L70" s="149"/>
      <c r="M70" s="157"/>
      <c r="N70" s="149"/>
      <c r="O70" s="157"/>
    </row>
    <row r="71" spans="1:15" ht="12" customHeight="1">
      <c r="A71" s="160"/>
      <c r="B71" s="792"/>
      <c r="C71" s="793"/>
      <c r="D71" s="149"/>
      <c r="E71" s="157"/>
      <c r="F71" s="149"/>
      <c r="G71" s="157"/>
      <c r="H71" s="149"/>
      <c r="I71" s="157"/>
      <c r="J71" s="149"/>
      <c r="K71" s="157"/>
      <c r="L71" s="149"/>
      <c r="M71" s="157"/>
      <c r="N71" s="149"/>
      <c r="O71" s="157"/>
    </row>
    <row r="72" spans="1:15" ht="12" customHeight="1">
      <c r="A72" s="796" t="s">
        <v>153</v>
      </c>
      <c r="B72" s="797"/>
      <c r="C72" s="798" t="s">
        <v>151</v>
      </c>
      <c r="D72" s="120"/>
      <c r="E72" s="117"/>
      <c r="F72" s="120"/>
      <c r="G72" s="117"/>
      <c r="H72" s="120"/>
      <c r="I72" s="117"/>
      <c r="J72" s="120"/>
      <c r="K72" s="117"/>
      <c r="L72" s="120"/>
      <c r="M72" s="117"/>
      <c r="N72" s="748"/>
      <c r="O72" s="749"/>
    </row>
    <row r="73" spans="1:15" ht="12" customHeight="1">
      <c r="A73" s="124" t="s">
        <v>393</v>
      </c>
      <c r="B73" s="790"/>
      <c r="C73" s="102"/>
      <c r="D73" s="100"/>
      <c r="E73" s="7">
        <v>109748</v>
      </c>
      <c r="F73" s="100"/>
      <c r="G73" s="7">
        <v>0</v>
      </c>
      <c r="H73" s="100"/>
      <c r="I73" s="7">
        <f t="shared" si="9"/>
        <v>60000</v>
      </c>
      <c r="J73" s="100"/>
      <c r="K73" s="7">
        <v>60000</v>
      </c>
      <c r="L73" s="100"/>
      <c r="M73" s="7">
        <v>0</v>
      </c>
      <c r="N73" s="748"/>
      <c r="O73" s="749">
        <v>0</v>
      </c>
    </row>
    <row r="74" spans="1:15" ht="12" customHeight="1">
      <c r="A74" s="124" t="s">
        <v>1010</v>
      </c>
      <c r="B74" s="790"/>
      <c r="C74" s="102"/>
      <c r="D74" s="100"/>
      <c r="E74" s="7">
        <v>0</v>
      </c>
      <c r="F74" s="100"/>
      <c r="G74" s="7">
        <v>0</v>
      </c>
      <c r="H74" s="100"/>
      <c r="I74" s="7">
        <f t="shared" ref="I74" si="11">K74-G74</f>
        <v>50000</v>
      </c>
      <c r="J74" s="100"/>
      <c r="K74" s="7">
        <v>50000</v>
      </c>
      <c r="L74" s="100"/>
      <c r="M74" s="7">
        <v>0</v>
      </c>
      <c r="N74" s="748"/>
      <c r="O74" s="749">
        <v>0</v>
      </c>
    </row>
    <row r="75" spans="1:15" ht="12" customHeight="1">
      <c r="A75" s="124" t="s">
        <v>1009</v>
      </c>
      <c r="B75" s="790"/>
      <c r="C75" s="102"/>
      <c r="D75" s="100"/>
      <c r="E75" s="7">
        <v>0</v>
      </c>
      <c r="F75" s="100"/>
      <c r="G75" s="7">
        <v>162000</v>
      </c>
      <c r="H75" s="100"/>
      <c r="I75" s="7">
        <f t="shared" si="9"/>
        <v>38000</v>
      </c>
      <c r="J75" s="100"/>
      <c r="K75" s="7">
        <v>200000</v>
      </c>
      <c r="L75" s="100"/>
      <c r="M75" s="7">
        <v>0</v>
      </c>
      <c r="N75" s="748"/>
      <c r="O75" s="749">
        <v>0</v>
      </c>
    </row>
    <row r="76" spans="1:15" ht="12" customHeight="1">
      <c r="A76" s="124" t="s">
        <v>330</v>
      </c>
      <c r="B76" s="119"/>
      <c r="C76" s="102"/>
      <c r="D76" s="100"/>
      <c r="E76" s="7">
        <v>0</v>
      </c>
      <c r="F76" s="100"/>
      <c r="G76" s="7">
        <v>99800</v>
      </c>
      <c r="H76" s="100"/>
      <c r="I76" s="7">
        <f t="shared" si="9"/>
        <v>200</v>
      </c>
      <c r="J76" s="100"/>
      <c r="K76" s="7">
        <v>100000</v>
      </c>
      <c r="L76" s="100"/>
      <c r="M76" s="7">
        <v>0</v>
      </c>
      <c r="N76" s="748"/>
      <c r="O76" s="749">
        <v>0</v>
      </c>
    </row>
    <row r="77" spans="1:15" ht="12" customHeight="1">
      <c r="A77" s="124" t="s">
        <v>50</v>
      </c>
      <c r="B77" s="356"/>
      <c r="C77" s="102" t="s">
        <v>156</v>
      </c>
      <c r="D77" s="100"/>
      <c r="E77" s="7"/>
      <c r="F77" s="100"/>
      <c r="G77" s="184"/>
      <c r="H77" s="100"/>
      <c r="I77" s="7"/>
      <c r="J77" s="100"/>
      <c r="K77" s="176"/>
      <c r="L77" s="125"/>
      <c r="M77" s="176"/>
      <c r="N77" s="109"/>
      <c r="O77" s="750"/>
    </row>
    <row r="78" spans="1:15" ht="12" customHeight="1">
      <c r="A78" s="1325" t="s">
        <v>16</v>
      </c>
      <c r="B78" s="1326"/>
      <c r="C78" s="102"/>
      <c r="D78" s="109" t="s">
        <v>15</v>
      </c>
      <c r="E78" s="110">
        <f>SUM(E62:E77)</f>
        <v>461847</v>
      </c>
      <c r="F78" s="109" t="s">
        <v>15</v>
      </c>
      <c r="G78" s="110">
        <f>SUM(G62:G77)</f>
        <v>261800</v>
      </c>
      <c r="H78" s="109" t="s">
        <v>15</v>
      </c>
      <c r="I78" s="110">
        <f>SUM(I62:I77)</f>
        <v>233200</v>
      </c>
      <c r="J78" s="109" t="s">
        <v>15</v>
      </c>
      <c r="K78" s="110">
        <f>SUM(K62:K77)</f>
        <v>495000</v>
      </c>
      <c r="L78" s="109" t="s">
        <v>15</v>
      </c>
      <c r="M78" s="110">
        <f>SUM(M62:M77)</f>
        <v>0</v>
      </c>
      <c r="N78" s="109" t="s">
        <v>15</v>
      </c>
      <c r="O78" s="110">
        <f>M78-K78</f>
        <v>-495000</v>
      </c>
    </row>
    <row r="79" spans="1:15" ht="6" customHeight="1">
      <c r="A79" s="1325"/>
      <c r="B79" s="1326"/>
      <c r="C79" s="102"/>
      <c r="D79" s="86"/>
      <c r="F79" s="100"/>
      <c r="G79" s="7"/>
      <c r="H79" s="100"/>
      <c r="I79" s="7"/>
      <c r="J79" s="100"/>
      <c r="K79" s="7"/>
      <c r="L79" s="100"/>
      <c r="M79" s="7"/>
      <c r="N79" s="100"/>
      <c r="O79" s="7"/>
    </row>
    <row r="80" spans="1:15" ht="11.25" customHeight="1">
      <c r="A80" s="1336" t="s">
        <v>277</v>
      </c>
      <c r="B80" s="1337"/>
      <c r="C80" s="177"/>
      <c r="D80" s="125" t="s">
        <v>15</v>
      </c>
      <c r="E80" s="126">
        <f>E78+E60+E37</f>
        <v>6746209.9899999993</v>
      </c>
      <c r="F80" s="125" t="s">
        <v>15</v>
      </c>
      <c r="G80" s="126">
        <f>G78+G60+G37</f>
        <v>3608524.88</v>
      </c>
      <c r="H80" s="125" t="s">
        <v>15</v>
      </c>
      <c r="I80" s="126">
        <f>I78+I60+I37</f>
        <v>5256759.120000001</v>
      </c>
      <c r="J80" s="125" t="s">
        <v>15</v>
      </c>
      <c r="K80" s="126">
        <f>K78+K60+K37</f>
        <v>8865284</v>
      </c>
      <c r="L80" s="125" t="s">
        <v>15</v>
      </c>
      <c r="M80" s="126">
        <f>M78+M60+M37</f>
        <v>8546305</v>
      </c>
      <c r="N80" s="125"/>
      <c r="O80" s="126"/>
    </row>
    <row r="81" spans="1:22" ht="17.25" customHeight="1">
      <c r="A81" s="62" t="s">
        <v>1623</v>
      </c>
      <c r="B81" s="358"/>
      <c r="C81" s="108"/>
      <c r="D81" s="149"/>
      <c r="E81" s="175"/>
      <c r="F81" s="149"/>
      <c r="G81" s="175"/>
      <c r="H81" s="149"/>
      <c r="I81" s="175"/>
      <c r="J81" s="149"/>
      <c r="K81" s="175"/>
      <c r="L81" s="149"/>
      <c r="M81" s="175"/>
      <c r="N81" s="149"/>
      <c r="O81" s="175"/>
    </row>
    <row r="82" spans="1:22" s="127" customFormat="1" ht="15" customHeight="1">
      <c r="A82" s="127" t="s">
        <v>187</v>
      </c>
      <c r="C82" s="128" t="s">
        <v>188</v>
      </c>
      <c r="F82" s="129"/>
      <c r="I82" s="127" t="s">
        <v>190</v>
      </c>
      <c r="L82" s="129"/>
      <c r="N82" s="129"/>
      <c r="P82" s="964"/>
      <c r="Q82" s="985"/>
      <c r="R82" s="1009"/>
      <c r="S82" s="1009"/>
      <c r="T82" s="130"/>
      <c r="U82" s="130"/>
      <c r="V82" s="130"/>
    </row>
    <row r="83" spans="1:22" ht="6.75" customHeight="1"/>
    <row r="84" spans="1:22" ht="6.75" customHeight="1"/>
    <row r="85" spans="1:22" ht="8.25" customHeight="1"/>
    <row r="86" spans="1:22" s="89" customFormat="1">
      <c r="A86" s="1323" t="s">
        <v>1583</v>
      </c>
      <c r="B86" s="1323"/>
      <c r="C86" s="1323" t="s">
        <v>1584</v>
      </c>
      <c r="D86" s="1323"/>
      <c r="E86" s="1323"/>
      <c r="F86" s="1323"/>
      <c r="G86" s="1323"/>
      <c r="H86" s="131"/>
      <c r="I86" s="1323" t="str">
        <f>ssbo!I82</f>
        <v>(Sgd.) ATTY. JOSE JOEL P. DOROMAL</v>
      </c>
      <c r="J86" s="1323"/>
      <c r="K86" s="1323"/>
      <c r="L86" s="1323"/>
      <c r="M86" s="1323"/>
      <c r="N86" s="774"/>
      <c r="O86" s="774"/>
      <c r="P86" s="965"/>
      <c r="Q86" s="965"/>
      <c r="R86" s="965"/>
      <c r="S86" s="965"/>
    </row>
    <row r="87" spans="1:22">
      <c r="A87" s="1322" t="s">
        <v>204</v>
      </c>
      <c r="B87" s="1322"/>
      <c r="C87" s="1322" t="s">
        <v>198</v>
      </c>
      <c r="D87" s="1322"/>
      <c r="E87" s="1322"/>
      <c r="F87" s="1322"/>
      <c r="G87" s="1322"/>
      <c r="I87" s="1322" t="s">
        <v>192</v>
      </c>
      <c r="J87" s="1322"/>
      <c r="K87" s="1322"/>
      <c r="L87" s="1322"/>
      <c r="M87" s="1322"/>
      <c r="N87" s="776"/>
      <c r="O87" s="776"/>
    </row>
    <row r="137" spans="1:14">
      <c r="A137" s="134" t="s">
        <v>244</v>
      </c>
      <c r="B137" s="92"/>
      <c r="C137" s="92"/>
      <c r="D137" s="116"/>
      <c r="E137" s="115"/>
      <c r="F137" s="86"/>
      <c r="H137" s="86"/>
      <c r="J137" s="86"/>
      <c r="L137" s="86"/>
      <c r="N137" s="86"/>
    </row>
    <row r="138" spans="1:14">
      <c r="A138" s="1324" t="s">
        <v>60</v>
      </c>
      <c r="B138" s="1311"/>
      <c r="C138" s="108"/>
      <c r="D138" s="111"/>
      <c r="E138" s="98"/>
      <c r="F138" s="86"/>
      <c r="H138" s="86"/>
      <c r="J138" s="86"/>
      <c r="L138" s="86"/>
      <c r="N138" s="86"/>
    </row>
    <row r="139" spans="1:14">
      <c r="A139" s="101" t="s">
        <v>233</v>
      </c>
      <c r="B139" s="108"/>
      <c r="C139" s="108"/>
      <c r="D139" s="111"/>
      <c r="E139" s="135" t="s">
        <v>228</v>
      </c>
      <c r="F139" s="86"/>
      <c r="H139" s="86"/>
      <c r="J139" s="86"/>
      <c r="L139" s="86"/>
      <c r="N139" s="86"/>
    </row>
    <row r="140" spans="1:14">
      <c r="A140" s="101"/>
      <c r="B140" s="108"/>
      <c r="C140" s="108"/>
      <c r="D140" s="111"/>
      <c r="E140" s="98"/>
      <c r="F140" s="86"/>
      <c r="H140" s="86"/>
      <c r="J140" s="86"/>
      <c r="L140" s="86"/>
      <c r="N140" s="86"/>
    </row>
    <row r="141" spans="1:14">
      <c r="A141" s="136" t="s">
        <v>61</v>
      </c>
      <c r="B141" s="108"/>
      <c r="C141" s="108"/>
      <c r="D141" s="111" t="s">
        <v>15</v>
      </c>
      <c r="E141" s="7">
        <v>513000</v>
      </c>
      <c r="F141" s="86"/>
      <c r="H141" s="86"/>
      <c r="J141" s="86"/>
      <c r="L141" s="86"/>
      <c r="N141" s="86"/>
    </row>
    <row r="142" spans="1:14">
      <c r="A142" s="136" t="s">
        <v>77</v>
      </c>
      <c r="B142" s="108"/>
      <c r="C142" s="108"/>
      <c r="D142" s="111"/>
      <c r="E142" s="105">
        <v>150000</v>
      </c>
      <c r="F142" s="86"/>
      <c r="H142" s="86"/>
      <c r="J142" s="86"/>
      <c r="L142" s="86"/>
      <c r="N142" s="86"/>
    </row>
    <row r="143" spans="1:14">
      <c r="A143" s="1320" t="s">
        <v>64</v>
      </c>
      <c r="B143" s="1321"/>
      <c r="C143" s="108"/>
      <c r="D143" s="111" t="s">
        <v>15</v>
      </c>
      <c r="E143" s="7">
        <f>SUM(E141:E142)</f>
        <v>663000</v>
      </c>
      <c r="F143" s="86"/>
      <c r="H143" s="86"/>
      <c r="J143" s="86"/>
      <c r="L143" s="86"/>
      <c r="N143" s="86"/>
    </row>
    <row r="144" spans="1:14">
      <c r="A144" s="138"/>
      <c r="B144" s="90"/>
      <c r="C144" s="90"/>
      <c r="D144" s="139"/>
      <c r="E144" s="112"/>
      <c r="F144" s="86"/>
      <c r="H144" s="86"/>
      <c r="J144" s="86"/>
      <c r="L144" s="86"/>
      <c r="N144" s="86"/>
    </row>
    <row r="147" spans="1:5">
      <c r="A147" s="134" t="s">
        <v>244</v>
      </c>
      <c r="B147" s="92"/>
      <c r="C147" s="92"/>
      <c r="D147" s="116"/>
      <c r="E147" s="115"/>
    </row>
    <row r="148" spans="1:5">
      <c r="A148" s="1324" t="s">
        <v>60</v>
      </c>
      <c r="B148" s="1311"/>
      <c r="C148" s="108"/>
      <c r="D148" s="111"/>
      <c r="E148" s="98"/>
    </row>
    <row r="149" spans="1:5">
      <c r="A149" s="101" t="s">
        <v>233</v>
      </c>
      <c r="B149" s="108"/>
      <c r="C149" s="108"/>
      <c r="D149" s="111"/>
      <c r="E149" s="135" t="s">
        <v>300</v>
      </c>
    </row>
    <row r="150" spans="1:5">
      <c r="A150" s="101"/>
      <c r="B150" s="108"/>
      <c r="C150" s="108"/>
      <c r="D150" s="111"/>
      <c r="E150" s="98"/>
    </row>
    <row r="151" spans="1:5">
      <c r="A151" s="136" t="s">
        <v>61</v>
      </c>
      <c r="B151" s="108"/>
      <c r="C151" s="108"/>
      <c r="D151" s="111" t="s">
        <v>15</v>
      </c>
      <c r="E151" s="7">
        <v>538000</v>
      </c>
    </row>
    <row r="152" spans="1:5">
      <c r="A152" s="136" t="s">
        <v>304</v>
      </c>
      <c r="B152" s="108"/>
      <c r="C152" s="108"/>
      <c r="D152" s="111"/>
      <c r="E152" s="7">
        <v>100000</v>
      </c>
    </row>
    <row r="153" spans="1:5">
      <c r="A153" s="136" t="s">
        <v>303</v>
      </c>
      <c r="B153" s="108"/>
      <c r="C153" s="108"/>
      <c r="D153" s="111"/>
      <c r="E153" s="7">
        <v>100000</v>
      </c>
    </row>
    <row r="154" spans="1:5">
      <c r="A154" s="136" t="s">
        <v>323</v>
      </c>
      <c r="B154" s="108"/>
      <c r="C154" s="108"/>
      <c r="D154" s="111"/>
      <c r="E154" s="105">
        <v>210000</v>
      </c>
    </row>
    <row r="155" spans="1:5">
      <c r="A155" s="1320" t="s">
        <v>64</v>
      </c>
      <c r="B155" s="1321"/>
      <c r="C155" s="108"/>
      <c r="D155" s="111" t="s">
        <v>15</v>
      </c>
      <c r="E155" s="7">
        <f>SUM(E151:E154)</f>
        <v>948000</v>
      </c>
    </row>
    <row r="156" spans="1:5">
      <c r="A156" s="138"/>
      <c r="B156" s="90"/>
      <c r="C156" s="90"/>
      <c r="D156" s="139"/>
      <c r="E156" s="112"/>
    </row>
  </sheetData>
  <sheetProtection algorithmName="SHA-512" hashValue="PtPiUkp8pj6EgdyoSMzJBMFhqHjHwyJTJrIeME7W8X0xnHYDv6oCkZeT1dG7PYDxB4fdq1xi/Y6SvsLnsnuz4A==" saltValue="lW9GhI4zWKZCw+B9ZRa1AQ==" spinCount="100000" sheet="1" objects="1" scenarios="1"/>
  <mergeCells count="33">
    <mergeCell ref="N11:O13"/>
    <mergeCell ref="A87:B87"/>
    <mergeCell ref="A78:B78"/>
    <mergeCell ref="A86:B86"/>
    <mergeCell ref="A12:B12"/>
    <mergeCell ref="H12:I12"/>
    <mergeCell ref="H13:I13"/>
    <mergeCell ref="A80:B80"/>
    <mergeCell ref="A148:B148"/>
    <mergeCell ref="A155:B155"/>
    <mergeCell ref="F7:M7"/>
    <mergeCell ref="A37:B37"/>
    <mergeCell ref="D13:E13"/>
    <mergeCell ref="F12:G12"/>
    <mergeCell ref="F8:M8"/>
    <mergeCell ref="L12:M12"/>
    <mergeCell ref="F11:K11"/>
    <mergeCell ref="D12:E12"/>
    <mergeCell ref="A143:B143"/>
    <mergeCell ref="A138:B138"/>
    <mergeCell ref="I86:M86"/>
    <mergeCell ref="I87:M87"/>
    <mergeCell ref="C86:G86"/>
    <mergeCell ref="C87:G87"/>
    <mergeCell ref="A3:M3"/>
    <mergeCell ref="A4:M4"/>
    <mergeCell ref="A60:B60"/>
    <mergeCell ref="A79:B79"/>
    <mergeCell ref="L13:M13"/>
    <mergeCell ref="F13:G13"/>
    <mergeCell ref="J12:K13"/>
    <mergeCell ref="L11:M11"/>
    <mergeCell ref="D11:E11"/>
  </mergeCells>
  <phoneticPr fontId="0" type="noConversion"/>
  <pageMargins left="0.23622047244094491" right="0.23622047244094491" top="0.78740157480314965" bottom="0.98425196850393704" header="0.51181102362204722" footer="0.51181102362204722"/>
  <pageSetup paperSize="14" orientation="portrait" verticalDpi="300" copies="3" r:id="rId1"/>
  <headerFooter alignWithMargins="0">
    <oddHeader>&amp;RPage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A1:V224"/>
  <sheetViews>
    <sheetView topLeftCell="A43" zoomScale="175" zoomScaleNormal="175" workbookViewId="0">
      <selection activeCell="N22" sqref="N22"/>
    </sheetView>
  </sheetViews>
  <sheetFormatPr defaultColWidth="9.140625" defaultRowHeight="13.5"/>
  <cols>
    <col min="1" max="1" width="3.85546875" style="86" customWidth="1"/>
    <col min="2" max="2" width="29" style="86" customWidth="1"/>
    <col min="3" max="3" width="8.5703125" style="86" customWidth="1"/>
    <col min="4" max="4" width="1.85546875" style="87" customWidth="1"/>
    <col min="5" max="5" width="10.140625" style="86" customWidth="1"/>
    <col min="6" max="6" width="1.85546875" style="87" customWidth="1"/>
    <col min="7" max="7" width="10.28515625" style="86" customWidth="1"/>
    <col min="8" max="8" width="2.28515625" style="87" customWidth="1"/>
    <col min="9" max="9" width="10.42578125" style="86" customWidth="1"/>
    <col min="10" max="10" width="1.7109375" style="87" customWidth="1"/>
    <col min="11" max="11" width="10.28515625" style="86" customWidth="1"/>
    <col min="12" max="12" width="1.5703125" style="87" customWidth="1"/>
    <col min="13" max="13" width="10.7109375" style="86" customWidth="1"/>
    <col min="14" max="14" width="2" style="966" hidden="1" customWidth="1"/>
    <col min="15" max="15" width="9.140625" style="961" hidden="1" customWidth="1"/>
    <col min="16" max="16" width="11" style="961" hidden="1" customWidth="1"/>
    <col min="17" max="17" width="13.28515625" style="961" bestFit="1" customWidth="1"/>
    <col min="18" max="19" width="9.140625" style="961"/>
    <col min="20" max="16384" width="9.140625" style="86"/>
  </cols>
  <sheetData>
    <row r="1" spans="1:20">
      <c r="A1" s="86" t="s">
        <v>186</v>
      </c>
    </row>
    <row r="2" spans="1:20" ht="7.5" customHeight="1"/>
    <row r="3" spans="1:20" ht="10.5" customHeight="1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986"/>
      <c r="O3" s="986"/>
      <c r="P3" s="962"/>
      <c r="Q3" s="962"/>
      <c r="R3" s="962"/>
      <c r="S3" s="962"/>
      <c r="T3" s="88"/>
    </row>
    <row r="4" spans="1:20" ht="12" customHeight="1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986"/>
      <c r="O4" s="986"/>
      <c r="P4" s="962"/>
      <c r="Q4" s="962"/>
      <c r="R4" s="962"/>
      <c r="S4" s="962"/>
      <c r="T4" s="88"/>
    </row>
    <row r="5" spans="1:20" ht="7.5" customHeight="1"/>
    <row r="6" spans="1:20">
      <c r="A6" s="89" t="s">
        <v>85</v>
      </c>
      <c r="B6" s="90" t="s">
        <v>414</v>
      </c>
      <c r="C6" s="90"/>
    </row>
    <row r="7" spans="1:20" hidden="1">
      <c r="A7" s="86" t="s">
        <v>2</v>
      </c>
      <c r="B7" s="91" t="s">
        <v>415</v>
      </c>
      <c r="C7" s="91"/>
      <c r="F7" s="804"/>
      <c r="G7" s="804"/>
      <c r="H7" s="804"/>
      <c r="I7" s="804"/>
      <c r="J7" s="804"/>
      <c r="K7" s="804"/>
      <c r="L7" s="804"/>
      <c r="M7" s="804"/>
      <c r="N7" s="1034"/>
      <c r="O7" s="1034"/>
    </row>
    <row r="8" spans="1:20" hidden="1">
      <c r="A8" s="86" t="s">
        <v>3</v>
      </c>
      <c r="B8" s="91" t="s">
        <v>416</v>
      </c>
      <c r="C8" s="91"/>
      <c r="F8" s="133"/>
      <c r="G8" s="133"/>
      <c r="H8" s="133"/>
      <c r="I8" s="133"/>
      <c r="J8" s="133"/>
      <c r="K8" s="133"/>
      <c r="L8" s="133"/>
      <c r="M8" s="133"/>
      <c r="N8" s="987"/>
      <c r="O8" s="987"/>
    </row>
    <row r="9" spans="1:20" hidden="1">
      <c r="A9" s="86" t="s">
        <v>4</v>
      </c>
      <c r="B9" s="91" t="s">
        <v>404</v>
      </c>
      <c r="C9" s="91"/>
    </row>
    <row r="10" spans="1:20" ht="9" customHeight="1">
      <c r="B10" s="92"/>
      <c r="C10" s="92"/>
    </row>
    <row r="11" spans="1:20">
      <c r="A11" s="93"/>
      <c r="B11" s="94"/>
      <c r="C11" s="2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328" t="s">
        <v>494</v>
      </c>
      <c r="O11" s="1329"/>
    </row>
    <row r="12" spans="1:20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330"/>
      <c r="O12" s="1331"/>
    </row>
    <row r="13" spans="1:20">
      <c r="A13" s="95"/>
      <c r="B13" s="96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332"/>
      <c r="O13" s="1333"/>
    </row>
    <row r="14" spans="1:20" ht="12.95" customHeight="1">
      <c r="A14" s="97" t="s">
        <v>281</v>
      </c>
      <c r="B14" s="98"/>
      <c r="C14" s="99"/>
      <c r="D14" s="100"/>
      <c r="E14" s="7"/>
      <c r="F14" s="100"/>
      <c r="G14" s="7"/>
      <c r="H14" s="100"/>
      <c r="I14" s="7"/>
      <c r="J14" s="100"/>
      <c r="K14" s="7"/>
      <c r="L14" s="100"/>
      <c r="M14" s="7"/>
      <c r="N14" s="971"/>
      <c r="O14" s="1035"/>
    </row>
    <row r="15" spans="1:20" ht="12.95" customHeight="1">
      <c r="A15" s="101" t="s">
        <v>262</v>
      </c>
      <c r="B15" s="98"/>
      <c r="C15" s="99"/>
      <c r="D15" s="100"/>
      <c r="E15" s="7"/>
      <c r="F15" s="100"/>
      <c r="G15" s="7"/>
      <c r="H15" s="100"/>
      <c r="I15" s="7"/>
      <c r="J15" s="100"/>
      <c r="K15" s="7"/>
      <c r="L15" s="100"/>
      <c r="M15" s="7"/>
      <c r="N15" s="971"/>
      <c r="O15" s="1035"/>
    </row>
    <row r="16" spans="1:20" ht="12.95" customHeight="1">
      <c r="A16" s="101" t="s">
        <v>263</v>
      </c>
      <c r="B16" s="98"/>
      <c r="C16" s="102" t="s">
        <v>114</v>
      </c>
      <c r="D16" s="100" t="s">
        <v>15</v>
      </c>
      <c r="E16" s="7">
        <v>1864339.38</v>
      </c>
      <c r="F16" s="100" t="s">
        <v>15</v>
      </c>
      <c r="G16" s="7">
        <v>1007154</v>
      </c>
      <c r="H16" s="100" t="s">
        <v>15</v>
      </c>
      <c r="I16" s="7">
        <f>K16-G16</f>
        <v>1511454</v>
      </c>
      <c r="J16" s="100" t="s">
        <v>15</v>
      </c>
      <c r="K16" s="7">
        <v>2518608</v>
      </c>
      <c r="L16" s="100" t="s">
        <v>15</v>
      </c>
      <c r="M16" s="7">
        <v>2518872</v>
      </c>
      <c r="N16" s="973" t="s">
        <v>15</v>
      </c>
      <c r="O16" s="1036">
        <v>0</v>
      </c>
      <c r="Q16" s="963"/>
    </row>
    <row r="17" spans="1:17" ht="12.95" customHeight="1">
      <c r="A17" s="101" t="s">
        <v>264</v>
      </c>
      <c r="B17" s="98"/>
      <c r="C17" s="102" t="s">
        <v>115</v>
      </c>
      <c r="D17" s="100"/>
      <c r="E17" s="7">
        <v>490353.93</v>
      </c>
      <c r="F17" s="100"/>
      <c r="G17" s="7">
        <v>252798.07999999999</v>
      </c>
      <c r="H17" s="100"/>
      <c r="I17" s="7">
        <f t="shared" ref="I17:I36" si="0">K17-G17</f>
        <v>276245.92000000004</v>
      </c>
      <c r="J17" s="100"/>
      <c r="K17" s="7">
        <v>529044</v>
      </c>
      <c r="L17" s="100"/>
      <c r="M17" s="7">
        <v>803772</v>
      </c>
      <c r="N17" s="975"/>
      <c r="O17" s="996">
        <v>0</v>
      </c>
      <c r="Q17" s="963"/>
    </row>
    <row r="18" spans="1:17" ht="12.95" customHeight="1">
      <c r="A18" s="101" t="s">
        <v>265</v>
      </c>
      <c r="B18" s="98"/>
      <c r="C18" s="102"/>
      <c r="D18" s="100"/>
      <c r="E18" s="7"/>
      <c r="F18" s="100"/>
      <c r="G18" s="7"/>
      <c r="H18" s="100"/>
      <c r="I18" s="7"/>
      <c r="J18" s="100"/>
      <c r="K18" s="7"/>
      <c r="L18" s="100"/>
      <c r="M18" s="7"/>
      <c r="N18" s="975"/>
      <c r="O18" s="996"/>
      <c r="P18" s="963"/>
    </row>
    <row r="19" spans="1:17" ht="12.95" customHeight="1">
      <c r="A19" s="101" t="s">
        <v>266</v>
      </c>
      <c r="B19" s="98"/>
      <c r="C19" s="102" t="s">
        <v>116</v>
      </c>
      <c r="D19" s="100"/>
      <c r="E19" s="7">
        <v>175545.85</v>
      </c>
      <c r="F19" s="100"/>
      <c r="G19" s="7">
        <v>94407.48</v>
      </c>
      <c r="H19" s="100"/>
      <c r="I19" s="7">
        <f t="shared" si="0"/>
        <v>121592.52</v>
      </c>
      <c r="J19" s="100"/>
      <c r="K19" s="7">
        <v>216000</v>
      </c>
      <c r="L19" s="100"/>
      <c r="M19" s="7">
        <v>240000</v>
      </c>
      <c r="N19" s="975"/>
      <c r="O19" s="996">
        <v>0</v>
      </c>
      <c r="Q19" s="963"/>
    </row>
    <row r="20" spans="1:17" ht="12.95" customHeight="1">
      <c r="A20" s="101" t="s">
        <v>267</v>
      </c>
      <c r="B20" s="98"/>
      <c r="C20" s="102" t="s">
        <v>117</v>
      </c>
      <c r="D20" s="100"/>
      <c r="E20" s="7">
        <v>81000</v>
      </c>
      <c r="F20" s="100"/>
      <c r="G20" s="7">
        <v>40500</v>
      </c>
      <c r="H20" s="100"/>
      <c r="I20" s="7">
        <f t="shared" si="0"/>
        <v>40500</v>
      </c>
      <c r="J20" s="100"/>
      <c r="K20" s="7">
        <v>81000</v>
      </c>
      <c r="L20" s="100"/>
      <c r="M20" s="7">
        <v>81000</v>
      </c>
      <c r="N20" s="975"/>
      <c r="O20" s="996">
        <v>0</v>
      </c>
      <c r="Q20" s="963"/>
    </row>
    <row r="21" spans="1:17" ht="12.95" customHeight="1">
      <c r="A21" s="101" t="s">
        <v>268</v>
      </c>
      <c r="B21" s="106"/>
      <c r="C21" s="102" t="s">
        <v>118</v>
      </c>
      <c r="D21" s="100"/>
      <c r="E21" s="7">
        <v>81000</v>
      </c>
      <c r="F21" s="100"/>
      <c r="G21" s="7">
        <v>40500</v>
      </c>
      <c r="H21" s="100"/>
      <c r="I21" s="7">
        <f t="shared" si="0"/>
        <v>40500</v>
      </c>
      <c r="J21" s="100"/>
      <c r="K21" s="7">
        <v>81000</v>
      </c>
      <c r="L21" s="100"/>
      <c r="M21" s="7">
        <v>81000</v>
      </c>
      <c r="N21" s="975"/>
      <c r="O21" s="996">
        <v>0</v>
      </c>
      <c r="Q21" s="963"/>
    </row>
    <row r="22" spans="1:17" ht="12.95" customHeight="1">
      <c r="A22" s="101" t="s">
        <v>269</v>
      </c>
      <c r="B22" s="106"/>
      <c r="C22" s="102" t="s">
        <v>119</v>
      </c>
      <c r="D22" s="100"/>
      <c r="E22" s="7">
        <v>42000</v>
      </c>
      <c r="F22" s="100"/>
      <c r="G22" s="7">
        <v>48000</v>
      </c>
      <c r="H22" s="100"/>
      <c r="I22" s="7">
        <f t="shared" si="0"/>
        <v>6000</v>
      </c>
      <c r="J22" s="100"/>
      <c r="K22" s="7">
        <v>54000</v>
      </c>
      <c r="L22" s="100"/>
      <c r="M22" s="7">
        <v>60000</v>
      </c>
      <c r="N22" s="975"/>
      <c r="O22" s="996">
        <v>0</v>
      </c>
      <c r="Q22" s="963"/>
    </row>
    <row r="23" spans="1:17" ht="12.95" customHeight="1">
      <c r="A23" s="101" t="s">
        <v>270</v>
      </c>
      <c r="B23" s="106"/>
      <c r="C23" s="102" t="s">
        <v>120</v>
      </c>
      <c r="D23" s="100"/>
      <c r="E23" s="7">
        <v>37000</v>
      </c>
      <c r="F23" s="100"/>
      <c r="G23" s="7">
        <v>0</v>
      </c>
      <c r="H23" s="100"/>
      <c r="I23" s="7">
        <f t="shared" si="0"/>
        <v>45000</v>
      </c>
      <c r="J23" s="100"/>
      <c r="K23" s="7">
        <v>45000</v>
      </c>
      <c r="L23" s="100"/>
      <c r="M23" s="7">
        <v>50000</v>
      </c>
      <c r="N23" s="975"/>
      <c r="O23" s="996">
        <v>0</v>
      </c>
      <c r="Q23" s="963"/>
    </row>
    <row r="24" spans="1:17" ht="12.95" customHeight="1">
      <c r="A24" s="101" t="s">
        <v>271</v>
      </c>
      <c r="B24" s="98"/>
      <c r="C24" s="102" t="s">
        <v>121</v>
      </c>
      <c r="D24" s="100"/>
      <c r="E24" s="7">
        <v>191711.84</v>
      </c>
      <c r="F24" s="100"/>
      <c r="G24" s="7">
        <v>0</v>
      </c>
      <c r="H24" s="100"/>
      <c r="I24" s="7">
        <f t="shared" si="0"/>
        <v>253971</v>
      </c>
      <c r="J24" s="100"/>
      <c r="K24" s="7">
        <v>253971</v>
      </c>
      <c r="L24" s="100"/>
      <c r="M24" s="7">
        <v>276887</v>
      </c>
      <c r="N24" s="975"/>
      <c r="O24" s="996">
        <v>0</v>
      </c>
      <c r="Q24" s="963"/>
    </row>
    <row r="25" spans="1:17" ht="12.95" customHeight="1">
      <c r="A25" s="101" t="s">
        <v>417</v>
      </c>
      <c r="B25" s="108"/>
      <c r="C25" s="102" t="s">
        <v>258</v>
      </c>
      <c r="D25" s="100"/>
      <c r="E25" s="7"/>
      <c r="F25" s="100"/>
      <c r="G25" s="7"/>
      <c r="H25" s="100"/>
      <c r="I25" s="7"/>
      <c r="J25" s="100"/>
      <c r="K25" s="7"/>
      <c r="L25" s="100"/>
      <c r="M25" s="7"/>
      <c r="N25" s="975"/>
      <c r="O25" s="996"/>
      <c r="Q25" s="963"/>
    </row>
    <row r="26" spans="1:17" ht="12.95" customHeight="1">
      <c r="A26" s="101" t="s">
        <v>279</v>
      </c>
      <c r="B26" s="108"/>
      <c r="C26" s="102"/>
      <c r="D26" s="100"/>
      <c r="E26" s="7">
        <v>188245.82</v>
      </c>
      <c r="F26" s="100"/>
      <c r="G26" s="7">
        <v>211944.8</v>
      </c>
      <c r="H26" s="100"/>
      <c r="I26" s="7">
        <f t="shared" si="0"/>
        <v>42026.200000000012</v>
      </c>
      <c r="J26" s="100"/>
      <c r="K26" s="7">
        <v>253971</v>
      </c>
      <c r="L26" s="100"/>
      <c r="M26" s="7">
        <v>276887</v>
      </c>
      <c r="N26" s="975"/>
      <c r="O26" s="996">
        <v>0</v>
      </c>
      <c r="Q26" s="963"/>
    </row>
    <row r="27" spans="1:17" ht="12.95" customHeight="1">
      <c r="A27" s="101" t="s">
        <v>280</v>
      </c>
      <c r="B27" s="108"/>
      <c r="C27" s="102"/>
      <c r="D27" s="100"/>
      <c r="E27" s="7">
        <v>0</v>
      </c>
      <c r="F27" s="100"/>
      <c r="G27" s="7">
        <v>24000</v>
      </c>
      <c r="H27" s="100"/>
      <c r="I27" s="7">
        <f t="shared" si="0"/>
        <v>3000</v>
      </c>
      <c r="J27" s="100"/>
      <c r="K27" s="7">
        <v>27000</v>
      </c>
      <c r="L27" s="100"/>
      <c r="M27" s="7">
        <v>0</v>
      </c>
      <c r="N27" s="975"/>
      <c r="O27" s="996">
        <v>0</v>
      </c>
      <c r="Q27" s="963"/>
    </row>
    <row r="28" spans="1:17" ht="12.95" customHeight="1">
      <c r="A28" s="101" t="s">
        <v>272</v>
      </c>
      <c r="B28" s="98"/>
      <c r="C28" s="102" t="s">
        <v>122</v>
      </c>
      <c r="D28" s="100"/>
      <c r="E28" s="7">
        <v>281531.61</v>
      </c>
      <c r="F28" s="100"/>
      <c r="G28" s="7">
        <v>152600.28</v>
      </c>
      <c r="H28" s="100"/>
      <c r="I28" s="7">
        <f t="shared" si="0"/>
        <v>213118.72</v>
      </c>
      <c r="J28" s="100"/>
      <c r="K28" s="7">
        <v>365719</v>
      </c>
      <c r="L28" s="100"/>
      <c r="M28" s="7">
        <v>398718</v>
      </c>
      <c r="N28" s="975"/>
      <c r="O28" s="996">
        <v>0</v>
      </c>
      <c r="Q28" s="963"/>
    </row>
    <row r="29" spans="1:17" ht="12.95" customHeight="1">
      <c r="A29" s="101" t="s">
        <v>273</v>
      </c>
      <c r="B29" s="98"/>
      <c r="C29" s="102" t="s">
        <v>123</v>
      </c>
      <c r="D29" s="100"/>
      <c r="E29" s="7">
        <v>46821.440000000002</v>
      </c>
      <c r="F29" s="100"/>
      <c r="G29" s="7">
        <v>8128.3</v>
      </c>
      <c r="H29" s="100"/>
      <c r="I29" s="7">
        <f t="shared" si="0"/>
        <v>52765.7</v>
      </c>
      <c r="J29" s="100"/>
      <c r="K29" s="7">
        <v>60894</v>
      </c>
      <c r="L29" s="100"/>
      <c r="M29" s="7">
        <v>12000</v>
      </c>
      <c r="N29" s="975"/>
      <c r="O29" s="996">
        <v>0</v>
      </c>
      <c r="Q29" s="963"/>
    </row>
    <row r="30" spans="1:17" ht="12.95" customHeight="1">
      <c r="A30" s="101" t="s">
        <v>274</v>
      </c>
      <c r="B30" s="98"/>
      <c r="C30" s="102" t="s">
        <v>124</v>
      </c>
      <c r="D30" s="100"/>
      <c r="E30" s="7">
        <v>31401.63</v>
      </c>
      <c r="F30" s="100"/>
      <c r="G30" s="7">
        <v>18367.21</v>
      </c>
      <c r="H30" s="100"/>
      <c r="I30" s="7">
        <f t="shared" si="0"/>
        <v>41764.79</v>
      </c>
      <c r="J30" s="100"/>
      <c r="K30" s="7">
        <v>60132</v>
      </c>
      <c r="L30" s="100"/>
      <c r="M30" s="7">
        <v>74808</v>
      </c>
      <c r="N30" s="975"/>
      <c r="O30" s="996">
        <v>0</v>
      </c>
      <c r="Q30" s="963"/>
    </row>
    <row r="31" spans="1:17" ht="12.95" customHeight="1">
      <c r="A31" s="101" t="s">
        <v>275</v>
      </c>
      <c r="B31" s="98"/>
      <c r="C31" s="102" t="s">
        <v>125</v>
      </c>
      <c r="D31" s="100"/>
      <c r="E31" s="7">
        <v>9000</v>
      </c>
      <c r="F31" s="100"/>
      <c r="G31" s="7">
        <v>4800</v>
      </c>
      <c r="H31" s="100"/>
      <c r="I31" s="7">
        <f t="shared" si="0"/>
        <v>6000</v>
      </c>
      <c r="J31" s="100"/>
      <c r="K31" s="7">
        <v>10800</v>
      </c>
      <c r="L31" s="100"/>
      <c r="M31" s="7">
        <v>12000</v>
      </c>
      <c r="N31" s="975"/>
      <c r="O31" s="996">
        <v>0</v>
      </c>
      <c r="Q31" s="963"/>
    </row>
    <row r="32" spans="1:17" ht="12.95" customHeight="1">
      <c r="A32" s="101" t="s">
        <v>276</v>
      </c>
      <c r="B32" s="108"/>
      <c r="C32" s="102" t="s">
        <v>161</v>
      </c>
      <c r="D32" s="100"/>
      <c r="E32" s="7"/>
      <c r="F32" s="100"/>
      <c r="G32" s="7"/>
      <c r="H32" s="100"/>
      <c r="I32" s="7"/>
      <c r="J32" s="100"/>
      <c r="K32" s="7"/>
      <c r="L32" s="100"/>
      <c r="M32" s="7"/>
      <c r="N32" s="975"/>
      <c r="O32" s="996">
        <v>0</v>
      </c>
      <c r="P32" s="963"/>
    </row>
    <row r="33" spans="1:18" ht="12.95" customHeight="1">
      <c r="A33" s="101" t="s">
        <v>292</v>
      </c>
      <c r="B33" s="108"/>
      <c r="C33" s="102"/>
      <c r="D33" s="100"/>
      <c r="E33" s="7">
        <v>0</v>
      </c>
      <c r="F33" s="100"/>
      <c r="G33" s="7">
        <v>0</v>
      </c>
      <c r="H33" s="100"/>
      <c r="I33" s="7">
        <f>K33-G33</f>
        <v>0</v>
      </c>
      <c r="J33" s="100"/>
      <c r="K33" s="7">
        <v>0</v>
      </c>
      <c r="L33" s="100"/>
      <c r="M33" s="7">
        <v>169069</v>
      </c>
      <c r="N33" s="975"/>
      <c r="O33" s="996">
        <v>0</v>
      </c>
    </row>
    <row r="34" spans="1:18" ht="12.95" customHeight="1">
      <c r="A34" s="101" t="s">
        <v>260</v>
      </c>
      <c r="B34" s="108"/>
      <c r="C34" s="102"/>
      <c r="D34" s="100"/>
      <c r="E34" s="7">
        <v>40000</v>
      </c>
      <c r="F34" s="100"/>
      <c r="G34" s="7">
        <v>0</v>
      </c>
      <c r="H34" s="100"/>
      <c r="I34" s="7">
        <f t="shared" si="0"/>
        <v>45000</v>
      </c>
      <c r="J34" s="100"/>
      <c r="K34" s="7">
        <v>45000</v>
      </c>
      <c r="L34" s="100"/>
      <c r="M34" s="7">
        <v>50000</v>
      </c>
      <c r="N34" s="975"/>
      <c r="O34" s="996">
        <v>0</v>
      </c>
      <c r="Q34" s="963"/>
    </row>
    <row r="35" spans="1:18" ht="12.95" customHeight="1">
      <c r="A35" s="101" t="s">
        <v>764</v>
      </c>
      <c r="B35" s="108"/>
      <c r="C35" s="102"/>
      <c r="D35" s="100"/>
      <c r="E35" s="7">
        <v>0</v>
      </c>
      <c r="F35" s="100"/>
      <c r="G35" s="7">
        <v>0</v>
      </c>
      <c r="H35" s="100"/>
      <c r="I35" s="7">
        <f t="shared" ref="I35" si="1">K35-G35</f>
        <v>134636</v>
      </c>
      <c r="J35" s="100"/>
      <c r="K35" s="7">
        <v>134636</v>
      </c>
      <c r="L35" s="100"/>
      <c r="M35" s="7">
        <v>0</v>
      </c>
      <c r="N35" s="975"/>
      <c r="O35" s="996">
        <v>0</v>
      </c>
      <c r="Q35" s="963"/>
    </row>
    <row r="36" spans="1:18" ht="12.95" customHeight="1">
      <c r="A36" s="101" t="s">
        <v>259</v>
      </c>
      <c r="B36" s="108"/>
      <c r="C36" s="102"/>
      <c r="D36" s="100"/>
      <c r="E36" s="7">
        <v>0</v>
      </c>
      <c r="F36" s="100"/>
      <c r="G36" s="7">
        <v>10000</v>
      </c>
      <c r="H36" s="100"/>
      <c r="I36" s="7">
        <f t="shared" si="0"/>
        <v>0</v>
      </c>
      <c r="J36" s="100"/>
      <c r="K36" s="105">
        <v>10000</v>
      </c>
      <c r="L36" s="104"/>
      <c r="M36" s="105">
        <v>0</v>
      </c>
      <c r="N36" s="975"/>
      <c r="O36" s="996">
        <v>0</v>
      </c>
      <c r="Q36" s="963"/>
    </row>
    <row r="37" spans="1:18" ht="12.95" customHeight="1">
      <c r="A37" s="1325" t="s">
        <v>14</v>
      </c>
      <c r="B37" s="1340"/>
      <c r="C37" s="102"/>
      <c r="D37" s="144" t="s">
        <v>15</v>
      </c>
      <c r="E37" s="174">
        <f>SUM(E16:E36)</f>
        <v>3559951.4999999995</v>
      </c>
      <c r="F37" s="144" t="s">
        <v>15</v>
      </c>
      <c r="G37" s="174">
        <f>SUM(G16:G36)</f>
        <v>1913200.1500000001</v>
      </c>
      <c r="H37" s="144" t="s">
        <v>15</v>
      </c>
      <c r="I37" s="174">
        <f>SUM(I16:I36)</f>
        <v>2833574.8500000006</v>
      </c>
      <c r="J37" s="144" t="s">
        <v>15</v>
      </c>
      <c r="K37" s="174">
        <f>SUM(K16:K36)</f>
        <v>4746775</v>
      </c>
      <c r="L37" s="144" t="s">
        <v>15</v>
      </c>
      <c r="M37" s="174">
        <f>SUM(M16:M36)</f>
        <v>5105013</v>
      </c>
      <c r="N37" s="997" t="s">
        <v>15</v>
      </c>
      <c r="O37" s="1037">
        <f>SUM(O16:O36)</f>
        <v>0</v>
      </c>
      <c r="Q37" s="963"/>
    </row>
    <row r="38" spans="1:18" ht="12.95" customHeight="1">
      <c r="A38" s="97" t="s">
        <v>282</v>
      </c>
      <c r="B38" s="98"/>
      <c r="C38" s="102"/>
      <c r="D38" s="116"/>
      <c r="E38" s="117"/>
      <c r="F38" s="116"/>
      <c r="G38" s="117"/>
      <c r="H38" s="116"/>
      <c r="I38" s="117"/>
      <c r="J38" s="116"/>
      <c r="K38" s="117"/>
      <c r="L38" s="116"/>
      <c r="M38" s="117"/>
      <c r="N38" s="1038"/>
      <c r="O38" s="970"/>
    </row>
    <row r="39" spans="1:18" ht="12.95" customHeight="1">
      <c r="A39" s="101" t="s">
        <v>41</v>
      </c>
      <c r="B39" s="98"/>
      <c r="C39" s="102" t="s">
        <v>126</v>
      </c>
      <c r="D39" s="111" t="s">
        <v>15</v>
      </c>
      <c r="E39" s="7">
        <v>94800</v>
      </c>
      <c r="F39" s="111" t="s">
        <v>15</v>
      </c>
      <c r="G39" s="7">
        <v>195300</v>
      </c>
      <c r="H39" s="111" t="s">
        <v>15</v>
      </c>
      <c r="I39" s="7">
        <f t="shared" ref="I39:I54" si="2">K39-G39</f>
        <v>362700</v>
      </c>
      <c r="J39" s="111" t="s">
        <v>15</v>
      </c>
      <c r="K39" s="7">
        <v>558000</v>
      </c>
      <c r="L39" s="100" t="s">
        <v>15</v>
      </c>
      <c r="M39" s="7">
        <v>468000</v>
      </c>
      <c r="N39" s="973" t="s">
        <v>15</v>
      </c>
      <c r="O39" s="1036">
        <f>M39-K39</f>
        <v>-90000</v>
      </c>
      <c r="P39" s="963">
        <f>O39-K39</f>
        <v>-648000</v>
      </c>
      <c r="Q39" s="963">
        <f>K39*0.1</f>
        <v>55800</v>
      </c>
    </row>
    <row r="40" spans="1:18" ht="12.95" customHeight="1">
      <c r="A40" s="101" t="s">
        <v>42</v>
      </c>
      <c r="B40" s="98"/>
      <c r="C40" s="102" t="s">
        <v>127</v>
      </c>
      <c r="D40" s="111"/>
      <c r="E40" s="7">
        <v>60800</v>
      </c>
      <c r="F40" s="111"/>
      <c r="G40" s="7">
        <v>68200</v>
      </c>
      <c r="H40" s="111"/>
      <c r="I40" s="7">
        <f t="shared" si="2"/>
        <v>231800</v>
      </c>
      <c r="J40" s="111"/>
      <c r="K40" s="7">
        <v>300000</v>
      </c>
      <c r="L40" s="100"/>
      <c r="M40" s="7">
        <v>250000</v>
      </c>
      <c r="N40" s="975"/>
      <c r="O40" s="1036">
        <f t="shared" ref="O40:O53" si="3">M40-K40</f>
        <v>-50000</v>
      </c>
      <c r="P40" s="963">
        <f t="shared" ref="P40:P53" si="4">O40-K40</f>
        <v>-350000</v>
      </c>
      <c r="Q40" s="963">
        <f t="shared" ref="Q40:Q53" si="5">K40*0.1</f>
        <v>30000</v>
      </c>
    </row>
    <row r="41" spans="1:18" ht="12.95" customHeight="1">
      <c r="A41" s="101" t="s">
        <v>28</v>
      </c>
      <c r="B41" s="98"/>
      <c r="C41" s="102" t="s">
        <v>128</v>
      </c>
      <c r="D41" s="111"/>
      <c r="E41" s="7">
        <v>103859</v>
      </c>
      <c r="F41" s="111"/>
      <c r="G41" s="7">
        <v>0</v>
      </c>
      <c r="H41" s="111"/>
      <c r="I41" s="7">
        <f t="shared" si="2"/>
        <v>230000</v>
      </c>
      <c r="J41" s="111"/>
      <c r="K41" s="7">
        <f>10000+220000</f>
        <v>230000</v>
      </c>
      <c r="L41" s="100"/>
      <c r="M41" s="7">
        <v>160000</v>
      </c>
      <c r="N41" s="975"/>
      <c r="O41" s="1036">
        <f t="shared" si="3"/>
        <v>-70000</v>
      </c>
      <c r="P41" s="963">
        <f t="shared" si="4"/>
        <v>-300000</v>
      </c>
      <c r="Q41" s="963">
        <f t="shared" si="5"/>
        <v>23000</v>
      </c>
      <c r="R41" s="961" t="s">
        <v>490</v>
      </c>
    </row>
    <row r="42" spans="1:18" ht="12.95" customHeight="1">
      <c r="A42" s="99" t="s">
        <v>688</v>
      </c>
      <c r="B42" s="98"/>
      <c r="C42" s="336" t="s">
        <v>173</v>
      </c>
      <c r="D42" s="111"/>
      <c r="E42" s="7">
        <v>89460</v>
      </c>
      <c r="F42" s="111"/>
      <c r="G42" s="7">
        <v>14000</v>
      </c>
      <c r="H42" s="111"/>
      <c r="I42" s="7">
        <f t="shared" si="2"/>
        <v>136000</v>
      </c>
      <c r="J42" s="111"/>
      <c r="K42" s="7">
        <v>150000</v>
      </c>
      <c r="L42" s="100"/>
      <c r="M42" s="7">
        <v>135000</v>
      </c>
      <c r="N42" s="975"/>
      <c r="O42" s="1036">
        <f t="shared" si="3"/>
        <v>-15000</v>
      </c>
      <c r="P42" s="963"/>
      <c r="Q42" s="963"/>
    </row>
    <row r="43" spans="1:18" ht="12.95" customHeight="1">
      <c r="A43" s="101" t="s">
        <v>130</v>
      </c>
      <c r="B43" s="98"/>
      <c r="C43" s="102" t="s">
        <v>129</v>
      </c>
      <c r="D43" s="111"/>
      <c r="E43" s="7">
        <v>39352.68</v>
      </c>
      <c r="F43" s="111"/>
      <c r="G43" s="7">
        <v>24951.200000000001</v>
      </c>
      <c r="H43" s="111"/>
      <c r="I43" s="7">
        <f t="shared" si="2"/>
        <v>75048.800000000003</v>
      </c>
      <c r="J43" s="111"/>
      <c r="K43" s="7">
        <v>100000</v>
      </c>
      <c r="L43" s="100"/>
      <c r="M43" s="7">
        <v>100000</v>
      </c>
      <c r="N43" s="975"/>
      <c r="O43" s="1036">
        <f t="shared" si="3"/>
        <v>0</v>
      </c>
      <c r="P43" s="963">
        <f t="shared" si="4"/>
        <v>-100000</v>
      </c>
      <c r="Q43" s="963">
        <f t="shared" si="5"/>
        <v>10000</v>
      </c>
    </row>
    <row r="44" spans="1:18" ht="12" customHeight="1">
      <c r="A44" s="101" t="s">
        <v>497</v>
      </c>
      <c r="B44" s="98"/>
      <c r="C44" s="102" t="s">
        <v>174</v>
      </c>
      <c r="D44" s="111"/>
      <c r="E44" s="7">
        <v>276759.42</v>
      </c>
      <c r="F44" s="111"/>
      <c r="G44" s="7">
        <v>135149.5</v>
      </c>
      <c r="H44" s="111"/>
      <c r="I44" s="7">
        <f t="shared" si="2"/>
        <v>215850.5</v>
      </c>
      <c r="J44" s="111"/>
      <c r="K44" s="7">
        <v>351000</v>
      </c>
      <c r="L44" s="100"/>
      <c r="M44" s="7">
        <v>271000</v>
      </c>
      <c r="N44" s="975"/>
      <c r="O44" s="1036">
        <f t="shared" si="3"/>
        <v>-80000</v>
      </c>
      <c r="P44" s="963">
        <f t="shared" si="4"/>
        <v>-431000</v>
      </c>
      <c r="Q44" s="963">
        <f>O44*0.1</f>
        <v>-8000</v>
      </c>
      <c r="R44" s="961" t="s">
        <v>763</v>
      </c>
    </row>
    <row r="45" spans="1:18" ht="12.95" customHeight="1">
      <c r="A45" s="101" t="s">
        <v>132</v>
      </c>
      <c r="B45" s="98"/>
      <c r="C45" s="102" t="s">
        <v>131</v>
      </c>
      <c r="D45" s="111"/>
      <c r="E45" s="7">
        <v>410</v>
      </c>
      <c r="F45" s="111"/>
      <c r="G45" s="7">
        <v>0</v>
      </c>
      <c r="H45" s="111"/>
      <c r="I45" s="7">
        <f t="shared" si="2"/>
        <v>2000</v>
      </c>
      <c r="J45" s="111"/>
      <c r="K45" s="7">
        <v>2000</v>
      </c>
      <c r="L45" s="100"/>
      <c r="M45" s="7">
        <v>2000</v>
      </c>
      <c r="N45" s="975"/>
      <c r="O45" s="1036">
        <f t="shared" si="3"/>
        <v>0</v>
      </c>
      <c r="P45" s="963">
        <f t="shared" si="4"/>
        <v>-2000</v>
      </c>
      <c r="Q45" s="963">
        <f t="shared" si="5"/>
        <v>200</v>
      </c>
    </row>
    <row r="46" spans="1:18" ht="12.95" customHeight="1">
      <c r="A46" s="101" t="s">
        <v>163</v>
      </c>
      <c r="B46" s="98"/>
      <c r="C46" s="102" t="s">
        <v>133</v>
      </c>
      <c r="D46" s="111"/>
      <c r="E46" s="7">
        <v>30000</v>
      </c>
      <c r="F46" s="111"/>
      <c r="G46" s="7">
        <v>14784.63</v>
      </c>
      <c r="H46" s="111"/>
      <c r="I46" s="7">
        <f t="shared" si="2"/>
        <v>25215.370000000003</v>
      </c>
      <c r="J46" s="111"/>
      <c r="K46" s="7">
        <v>40000</v>
      </c>
      <c r="L46" s="100"/>
      <c r="M46" s="7">
        <v>40000</v>
      </c>
      <c r="N46" s="975"/>
      <c r="O46" s="1036">
        <f t="shared" si="3"/>
        <v>0</v>
      </c>
      <c r="P46" s="963">
        <f t="shared" si="4"/>
        <v>-40000</v>
      </c>
      <c r="Q46" s="963">
        <f t="shared" si="5"/>
        <v>4000</v>
      </c>
    </row>
    <row r="47" spans="1:18" ht="12.95" customHeight="1">
      <c r="A47" s="101" t="s">
        <v>135</v>
      </c>
      <c r="B47" s="98"/>
      <c r="C47" s="102" t="s">
        <v>134</v>
      </c>
      <c r="D47" s="100"/>
      <c r="E47" s="157">
        <v>32199.19</v>
      </c>
      <c r="F47" s="100"/>
      <c r="G47" s="157">
        <v>14596</v>
      </c>
      <c r="H47" s="100"/>
      <c r="I47" s="7">
        <f t="shared" si="2"/>
        <v>21404</v>
      </c>
      <c r="J47" s="100"/>
      <c r="K47" s="7">
        <v>36000</v>
      </c>
      <c r="L47" s="100"/>
      <c r="M47" s="7">
        <v>36000</v>
      </c>
      <c r="N47" s="975"/>
      <c r="O47" s="1036">
        <f t="shared" si="3"/>
        <v>0</v>
      </c>
      <c r="P47" s="963">
        <f t="shared" si="4"/>
        <v>-36000</v>
      </c>
      <c r="Q47" s="963">
        <f t="shared" si="5"/>
        <v>3600</v>
      </c>
    </row>
    <row r="48" spans="1:18" ht="12" customHeight="1">
      <c r="A48" s="101" t="s">
        <v>138</v>
      </c>
      <c r="B48" s="98"/>
      <c r="C48" s="102" t="s">
        <v>137</v>
      </c>
      <c r="D48" s="100"/>
      <c r="E48" s="7">
        <v>18000</v>
      </c>
      <c r="F48" s="111"/>
      <c r="G48" s="7">
        <v>1480</v>
      </c>
      <c r="H48" s="111"/>
      <c r="I48" s="7">
        <f t="shared" si="2"/>
        <v>28520</v>
      </c>
      <c r="J48" s="111"/>
      <c r="K48" s="7">
        <v>30000</v>
      </c>
      <c r="L48" s="100"/>
      <c r="M48" s="7">
        <v>24000</v>
      </c>
      <c r="N48" s="975"/>
      <c r="O48" s="1036">
        <f t="shared" si="3"/>
        <v>-6000</v>
      </c>
      <c r="P48" s="963">
        <f t="shared" si="4"/>
        <v>-36000</v>
      </c>
      <c r="Q48" s="963">
        <f>O48*0.1</f>
        <v>-600</v>
      </c>
    </row>
    <row r="49" spans="1:19" ht="12.95" customHeight="1">
      <c r="A49" s="101" t="s">
        <v>142</v>
      </c>
      <c r="B49" s="98"/>
      <c r="C49" s="102" t="s">
        <v>141</v>
      </c>
      <c r="D49" s="111"/>
      <c r="E49" s="7">
        <v>9975</v>
      </c>
      <c r="F49" s="111"/>
      <c r="G49" s="7">
        <v>0</v>
      </c>
      <c r="H49" s="111"/>
      <c r="I49" s="7">
        <f t="shared" si="2"/>
        <v>30000</v>
      </c>
      <c r="J49" s="111"/>
      <c r="K49" s="7">
        <v>30000</v>
      </c>
      <c r="L49" s="100"/>
      <c r="M49" s="7">
        <v>20000</v>
      </c>
      <c r="N49" s="975"/>
      <c r="O49" s="1036">
        <f t="shared" si="3"/>
        <v>-10000</v>
      </c>
      <c r="P49" s="963">
        <f t="shared" si="4"/>
        <v>-40000</v>
      </c>
      <c r="Q49" s="963">
        <f t="shared" si="5"/>
        <v>3000</v>
      </c>
    </row>
    <row r="50" spans="1:19" ht="12.95" customHeight="1">
      <c r="A50" s="101" t="s">
        <v>30</v>
      </c>
      <c r="B50" s="98"/>
      <c r="C50" s="102" t="s">
        <v>143</v>
      </c>
      <c r="D50" s="100"/>
      <c r="E50" s="7">
        <v>0</v>
      </c>
      <c r="F50" s="111"/>
      <c r="G50" s="7">
        <v>0</v>
      </c>
      <c r="H50" s="111"/>
      <c r="I50" s="7">
        <f t="shared" si="2"/>
        <v>9000</v>
      </c>
      <c r="J50" s="111"/>
      <c r="K50" s="7">
        <v>9000</v>
      </c>
      <c r="L50" s="100"/>
      <c r="M50" s="7">
        <v>9000</v>
      </c>
      <c r="N50" s="975"/>
      <c r="O50" s="1036">
        <f t="shared" si="3"/>
        <v>0</v>
      </c>
      <c r="P50" s="963">
        <f t="shared" si="4"/>
        <v>-9000</v>
      </c>
      <c r="Q50" s="963">
        <f t="shared" si="5"/>
        <v>900</v>
      </c>
    </row>
    <row r="51" spans="1:19" ht="12.95" customHeight="1">
      <c r="A51" s="101" t="s">
        <v>33</v>
      </c>
      <c r="B51" s="119"/>
      <c r="C51" s="102" t="s">
        <v>148</v>
      </c>
      <c r="D51" s="100"/>
      <c r="E51" s="7"/>
      <c r="F51" s="111"/>
      <c r="G51" s="7"/>
      <c r="H51" s="111"/>
      <c r="I51" s="7"/>
      <c r="J51" s="111"/>
      <c r="K51" s="7"/>
      <c r="L51" s="100"/>
      <c r="M51" s="7"/>
      <c r="N51" s="975"/>
      <c r="O51" s="996"/>
      <c r="P51" s="963">
        <f t="shared" si="4"/>
        <v>0</v>
      </c>
      <c r="Q51" s="963">
        <f t="shared" si="5"/>
        <v>0</v>
      </c>
    </row>
    <row r="52" spans="1:19" ht="12.95" customHeight="1">
      <c r="A52" s="101"/>
      <c r="B52" s="7" t="s">
        <v>342</v>
      </c>
      <c r="C52" s="102"/>
      <c r="D52" s="100"/>
      <c r="E52" s="7">
        <v>655200</v>
      </c>
      <c r="F52" s="111"/>
      <c r="G52" s="7">
        <v>237515.7</v>
      </c>
      <c r="H52" s="111"/>
      <c r="I52" s="7">
        <f t="shared" si="2"/>
        <v>376484.3</v>
      </c>
      <c r="J52" s="111"/>
      <c r="K52" s="7">
        <v>614000</v>
      </c>
      <c r="L52" s="100"/>
      <c r="M52" s="7">
        <v>644000</v>
      </c>
      <c r="N52" s="975"/>
      <c r="O52" s="1036">
        <f t="shared" si="3"/>
        <v>30000</v>
      </c>
      <c r="P52" s="963">
        <f t="shared" si="4"/>
        <v>-584000</v>
      </c>
      <c r="Q52" s="963">
        <f t="shared" si="5"/>
        <v>61400</v>
      </c>
    </row>
    <row r="53" spans="1:19" ht="12.95" customHeight="1">
      <c r="A53" s="101"/>
      <c r="B53" s="7" t="s">
        <v>355</v>
      </c>
      <c r="C53" s="102"/>
      <c r="D53" s="100"/>
      <c r="E53" s="7">
        <v>85000</v>
      </c>
      <c r="F53" s="111"/>
      <c r="G53" s="7">
        <v>11200</v>
      </c>
      <c r="H53" s="111"/>
      <c r="I53" s="7">
        <f t="shared" si="2"/>
        <v>73800</v>
      </c>
      <c r="J53" s="111"/>
      <c r="K53" s="7">
        <v>85000</v>
      </c>
      <c r="L53" s="100"/>
      <c r="M53" s="7">
        <v>85000</v>
      </c>
      <c r="N53" s="975"/>
      <c r="O53" s="1036">
        <f t="shared" si="3"/>
        <v>0</v>
      </c>
      <c r="P53" s="963">
        <f t="shared" si="4"/>
        <v>-85000</v>
      </c>
      <c r="Q53" s="963">
        <f t="shared" si="5"/>
        <v>8500</v>
      </c>
    </row>
    <row r="54" spans="1:19" ht="12.95" customHeight="1">
      <c r="A54" s="101"/>
      <c r="B54" s="7" t="s">
        <v>762</v>
      </c>
      <c r="C54" s="102"/>
      <c r="D54" s="100"/>
      <c r="E54" s="7">
        <v>5000</v>
      </c>
      <c r="F54" s="111"/>
      <c r="G54" s="7">
        <v>10000</v>
      </c>
      <c r="H54" s="100"/>
      <c r="I54" s="7">
        <f t="shared" si="2"/>
        <v>15000</v>
      </c>
      <c r="J54" s="111"/>
      <c r="K54" s="7">
        <v>25000</v>
      </c>
      <c r="L54" s="100"/>
      <c r="M54" s="7">
        <v>25000</v>
      </c>
      <c r="N54" s="975"/>
      <c r="O54" s="1036">
        <f t="shared" ref="O54:O57" si="6">M54-K54</f>
        <v>0</v>
      </c>
      <c r="P54" s="963"/>
      <c r="Q54" s="963"/>
    </row>
    <row r="55" spans="1:19" ht="12.95" customHeight="1">
      <c r="A55" s="101"/>
      <c r="B55" s="7" t="s">
        <v>510</v>
      </c>
      <c r="C55" s="102"/>
      <c r="D55" s="100"/>
      <c r="E55" s="7">
        <v>135000</v>
      </c>
      <c r="F55" s="111"/>
      <c r="G55" s="7">
        <v>78750</v>
      </c>
      <c r="H55" s="100"/>
      <c r="I55" s="7">
        <f>K55-G55</f>
        <v>121250</v>
      </c>
      <c r="J55" s="111"/>
      <c r="K55" s="7">
        <v>200000</v>
      </c>
      <c r="L55" s="100"/>
      <c r="M55" s="7">
        <v>170000</v>
      </c>
      <c r="N55" s="975"/>
      <c r="O55" s="1036">
        <f t="shared" si="6"/>
        <v>-30000</v>
      </c>
      <c r="P55" s="963"/>
      <c r="Q55" s="963"/>
    </row>
    <row r="56" spans="1:19" ht="12.95" customHeight="1">
      <c r="A56" s="101"/>
      <c r="B56" s="7" t="s">
        <v>750</v>
      </c>
      <c r="C56" s="102"/>
      <c r="D56" s="100"/>
      <c r="E56" s="7">
        <v>380475.46</v>
      </c>
      <c r="F56" s="111"/>
      <c r="G56" s="7">
        <v>220266.95</v>
      </c>
      <c r="H56" s="100"/>
      <c r="I56" s="7">
        <f>K56-G56</f>
        <v>365733.05</v>
      </c>
      <c r="J56" s="111"/>
      <c r="K56" s="7">
        <v>586000</v>
      </c>
      <c r="L56" s="100"/>
      <c r="M56" s="7">
        <v>466000</v>
      </c>
      <c r="N56" s="975"/>
      <c r="O56" s="1036">
        <f t="shared" si="6"/>
        <v>-120000</v>
      </c>
      <c r="P56" s="963"/>
      <c r="Q56" s="963"/>
    </row>
    <row r="57" spans="1:19" ht="12.95" customHeight="1">
      <c r="A57" s="101"/>
      <c r="B57" s="7" t="s">
        <v>601</v>
      </c>
      <c r="C57" s="102"/>
      <c r="D57" s="100"/>
      <c r="E57" s="7">
        <v>188003.77</v>
      </c>
      <c r="F57" s="111"/>
      <c r="G57" s="7">
        <v>36145.68</v>
      </c>
      <c r="H57" s="100"/>
      <c r="I57" s="7">
        <f>K57-G57</f>
        <v>213854.32</v>
      </c>
      <c r="J57" s="111"/>
      <c r="K57" s="105">
        <v>250000</v>
      </c>
      <c r="L57" s="104"/>
      <c r="M57" s="105">
        <v>200000</v>
      </c>
      <c r="N57" s="975"/>
      <c r="O57" s="1036">
        <f t="shared" si="6"/>
        <v>-50000</v>
      </c>
      <c r="P57" s="963"/>
      <c r="Q57" s="963"/>
    </row>
    <row r="58" spans="1:19" ht="12.95" customHeight="1">
      <c r="A58" s="1325" t="s">
        <v>13</v>
      </c>
      <c r="B58" s="1326"/>
      <c r="C58" s="102"/>
      <c r="D58" s="109" t="s">
        <v>15</v>
      </c>
      <c r="E58" s="110">
        <f>SUM(E39:E57)</f>
        <v>2204294.52</v>
      </c>
      <c r="F58" s="109" t="s">
        <v>15</v>
      </c>
      <c r="G58" s="110">
        <f>SUM(G39:G57)</f>
        <v>1062339.6599999999</v>
      </c>
      <c r="H58" s="109" t="s">
        <v>15</v>
      </c>
      <c r="I58" s="110">
        <f>SUM(I39:I57)</f>
        <v>2533660.34</v>
      </c>
      <c r="J58" s="109" t="s">
        <v>15</v>
      </c>
      <c r="K58" s="110">
        <f>SUM(K39:K57)</f>
        <v>3596000</v>
      </c>
      <c r="L58" s="109" t="s">
        <v>15</v>
      </c>
      <c r="M58" s="110">
        <f>SUM(M39:M57)</f>
        <v>3105000</v>
      </c>
      <c r="N58" s="977" t="s">
        <v>15</v>
      </c>
      <c r="O58" s="1033">
        <f>SUM(O39:O57)</f>
        <v>-491000</v>
      </c>
      <c r="P58" s="1033">
        <f>O58-K58</f>
        <v>-4087000</v>
      </c>
    </row>
    <row r="59" spans="1:19" ht="9" customHeight="1">
      <c r="A59" s="296"/>
      <c r="B59" s="297"/>
      <c r="C59" s="102"/>
      <c r="D59" s="144"/>
      <c r="E59" s="174"/>
      <c r="F59" s="144"/>
      <c r="G59" s="174"/>
      <c r="H59" s="144"/>
      <c r="I59" s="174"/>
      <c r="J59" s="144"/>
      <c r="K59" s="174"/>
      <c r="L59" s="144"/>
      <c r="M59" s="174"/>
      <c r="N59" s="997"/>
      <c r="O59" s="1037"/>
      <c r="P59" s="1039"/>
    </row>
    <row r="60" spans="1:19" ht="12.95" customHeight="1">
      <c r="A60" s="121" t="s">
        <v>283</v>
      </c>
      <c r="B60" s="297"/>
      <c r="C60" s="102"/>
      <c r="D60" s="122"/>
      <c r="E60" s="298"/>
      <c r="F60" s="122"/>
      <c r="G60" s="123"/>
      <c r="H60" s="122"/>
      <c r="I60" s="123"/>
      <c r="J60" s="122"/>
      <c r="K60" s="123"/>
      <c r="L60" s="122"/>
      <c r="M60" s="123"/>
      <c r="N60" s="979"/>
      <c r="O60" s="1040"/>
      <c r="R60" s="961" t="s">
        <v>54</v>
      </c>
    </row>
    <row r="61" spans="1:19" s="182" customFormat="1" ht="12.95" customHeight="1">
      <c r="A61" s="124" t="s">
        <v>51</v>
      </c>
      <c r="B61" s="119"/>
      <c r="C61" s="102" t="s">
        <v>149</v>
      </c>
      <c r="D61" s="100" t="s">
        <v>15</v>
      </c>
      <c r="E61" s="7"/>
      <c r="F61" s="100" t="s">
        <v>15</v>
      </c>
      <c r="G61" s="184"/>
      <c r="H61" s="100" t="s">
        <v>15</v>
      </c>
      <c r="I61" s="7"/>
      <c r="J61" s="100" t="s">
        <v>15</v>
      </c>
      <c r="K61" s="184"/>
      <c r="L61" s="100" t="s">
        <v>15</v>
      </c>
      <c r="M61" s="184"/>
      <c r="N61" s="973" t="s">
        <v>15</v>
      </c>
      <c r="O61" s="1041"/>
      <c r="P61" s="961"/>
      <c r="Q61" s="961"/>
      <c r="R61" s="961"/>
      <c r="S61" s="961"/>
    </row>
    <row r="62" spans="1:19" s="182" customFormat="1" ht="12.95" customHeight="1">
      <c r="A62" s="162" t="s">
        <v>1119</v>
      </c>
      <c r="B62" s="791"/>
      <c r="C62" s="113"/>
      <c r="D62" s="104"/>
      <c r="E62" s="105">
        <v>0</v>
      </c>
      <c r="F62" s="104"/>
      <c r="G62" s="176">
        <v>0</v>
      </c>
      <c r="H62" s="104"/>
      <c r="I62" s="105">
        <f>K62-G62</f>
        <v>0</v>
      </c>
      <c r="J62" s="104"/>
      <c r="K62" s="176">
        <v>0</v>
      </c>
      <c r="L62" s="104"/>
      <c r="M62" s="176">
        <v>0</v>
      </c>
      <c r="N62" s="975"/>
      <c r="O62" s="1042">
        <v>0</v>
      </c>
      <c r="P62" s="961"/>
      <c r="Q62" s="961"/>
      <c r="R62" s="961"/>
      <c r="S62" s="961"/>
    </row>
    <row r="63" spans="1:19" s="182" customFormat="1" ht="12.95" customHeight="1">
      <c r="A63" s="160"/>
      <c r="B63" s="792"/>
      <c r="C63" s="793"/>
      <c r="D63" s="111"/>
      <c r="E63" s="157"/>
      <c r="F63" s="111"/>
      <c r="G63" s="789"/>
      <c r="H63" s="111"/>
      <c r="I63" s="157"/>
      <c r="J63" s="111"/>
      <c r="K63" s="789"/>
      <c r="L63" s="111"/>
      <c r="M63" s="789"/>
      <c r="N63" s="983"/>
      <c r="O63" s="1043"/>
      <c r="P63" s="961"/>
      <c r="Q63" s="961"/>
      <c r="R63" s="961"/>
      <c r="S63" s="961"/>
    </row>
    <row r="64" spans="1:19" s="182" customFormat="1" ht="12.95" customHeight="1">
      <c r="A64" s="160"/>
      <c r="B64" s="792"/>
      <c r="C64" s="793"/>
      <c r="D64" s="111"/>
      <c r="E64" s="157"/>
      <c r="F64" s="111"/>
      <c r="G64" s="789"/>
      <c r="H64" s="111"/>
      <c r="I64" s="157"/>
      <c r="J64" s="111"/>
      <c r="K64" s="789"/>
      <c r="L64" s="111"/>
      <c r="M64" s="789"/>
      <c r="N64" s="983"/>
      <c r="O64" s="1043"/>
      <c r="P64" s="961"/>
      <c r="Q64" s="961"/>
      <c r="R64" s="961"/>
      <c r="S64" s="961"/>
    </row>
    <row r="65" spans="1:22" s="182" customFormat="1" ht="12.95" customHeight="1">
      <c r="A65" s="160"/>
      <c r="B65" s="857"/>
      <c r="C65" s="856"/>
      <c r="D65" s="111"/>
      <c r="E65" s="157"/>
      <c r="F65" s="111"/>
      <c r="G65" s="855"/>
      <c r="H65" s="111"/>
      <c r="I65" s="157"/>
      <c r="J65" s="111"/>
      <c r="K65" s="855"/>
      <c r="L65" s="111"/>
      <c r="M65" s="855"/>
      <c r="N65" s="983"/>
      <c r="O65" s="1043"/>
      <c r="P65" s="961"/>
      <c r="Q65" s="961"/>
      <c r="R65" s="961"/>
      <c r="S65" s="961"/>
    </row>
    <row r="66" spans="1:22" s="182" customFormat="1" ht="12.95" customHeight="1">
      <c r="A66" s="160"/>
      <c r="B66" s="857"/>
      <c r="C66" s="856"/>
      <c r="D66" s="111"/>
      <c r="E66" s="157"/>
      <c r="F66" s="111"/>
      <c r="G66" s="855"/>
      <c r="H66" s="111"/>
      <c r="I66" s="157"/>
      <c r="J66" s="111"/>
      <c r="K66" s="855"/>
      <c r="L66" s="111"/>
      <c r="M66" s="855"/>
      <c r="N66" s="983"/>
      <c r="O66" s="1043"/>
      <c r="P66" s="961"/>
      <c r="Q66" s="961"/>
      <c r="R66" s="961"/>
      <c r="S66" s="961"/>
    </row>
    <row r="67" spans="1:22" s="182" customFormat="1" ht="12.95" customHeight="1">
      <c r="A67" s="160"/>
      <c r="B67" s="792"/>
      <c r="C67" s="793"/>
      <c r="D67" s="111"/>
      <c r="E67" s="157"/>
      <c r="F67" s="111"/>
      <c r="G67" s="789"/>
      <c r="H67" s="111"/>
      <c r="I67" s="157"/>
      <c r="J67" s="111"/>
      <c r="K67" s="789"/>
      <c r="L67" s="111"/>
      <c r="M67" s="789"/>
      <c r="N67" s="983"/>
      <c r="O67" s="1043"/>
      <c r="P67" s="961"/>
      <c r="Q67" s="961"/>
      <c r="R67" s="961"/>
      <c r="S67" s="961"/>
    </row>
    <row r="68" spans="1:22" s="182" customFormat="1" ht="12.95" customHeight="1">
      <c r="A68" s="796" t="s">
        <v>152</v>
      </c>
      <c r="B68" s="797"/>
      <c r="C68" s="798" t="s">
        <v>150</v>
      </c>
      <c r="D68" s="120"/>
      <c r="E68" s="117"/>
      <c r="F68" s="120"/>
      <c r="G68" s="799"/>
      <c r="H68" s="120"/>
      <c r="I68" s="117"/>
      <c r="J68" s="120"/>
      <c r="K68" s="799"/>
      <c r="L68" s="120"/>
      <c r="M68" s="799"/>
      <c r="N68" s="975"/>
      <c r="O68" s="1042"/>
      <c r="P68" s="961"/>
      <c r="Q68" s="961"/>
      <c r="R68" s="961"/>
      <c r="S68" s="961"/>
    </row>
    <row r="69" spans="1:22" s="182" customFormat="1" ht="12.95" customHeight="1">
      <c r="A69" s="124"/>
      <c r="B69" s="264" t="s">
        <v>733</v>
      </c>
      <c r="C69" s="102"/>
      <c r="D69" s="100"/>
      <c r="E69" s="7">
        <v>0</v>
      </c>
      <c r="F69" s="100"/>
      <c r="G69" s="184">
        <v>0</v>
      </c>
      <c r="H69" s="100"/>
      <c r="I69" s="7">
        <f t="shared" ref="I69:I71" si="7">K69-G69</f>
        <v>50000</v>
      </c>
      <c r="J69" s="100"/>
      <c r="K69" s="184">
        <v>50000</v>
      </c>
      <c r="L69" s="100"/>
      <c r="M69" s="184"/>
      <c r="N69" s="975"/>
      <c r="O69" s="1042">
        <v>0</v>
      </c>
      <c r="P69" s="961"/>
      <c r="Q69" s="961"/>
      <c r="R69" s="961"/>
      <c r="S69" s="961"/>
    </row>
    <row r="70" spans="1:22" ht="12.95" customHeight="1">
      <c r="A70" s="124" t="s">
        <v>153</v>
      </c>
      <c r="B70" s="119"/>
      <c r="C70" s="102" t="s">
        <v>151</v>
      </c>
      <c r="D70" s="100"/>
      <c r="E70" s="7"/>
      <c r="F70" s="100"/>
      <c r="G70" s="184"/>
      <c r="H70" s="100"/>
      <c r="I70" s="7"/>
      <c r="J70" s="100"/>
      <c r="K70" s="184"/>
      <c r="L70" s="100"/>
      <c r="M70" s="184"/>
      <c r="N70" s="975"/>
      <c r="O70" s="1042"/>
    </row>
    <row r="71" spans="1:22" ht="12.95" customHeight="1">
      <c r="A71" s="124" t="s">
        <v>1056</v>
      </c>
      <c r="B71" s="119"/>
      <c r="C71" s="102"/>
      <c r="D71" s="100"/>
      <c r="E71" s="7">
        <v>0</v>
      </c>
      <c r="F71" s="100"/>
      <c r="G71" s="184">
        <v>70000</v>
      </c>
      <c r="H71" s="100"/>
      <c r="I71" s="7">
        <f t="shared" si="7"/>
        <v>0</v>
      </c>
      <c r="J71" s="100"/>
      <c r="K71" s="184">
        <v>70000</v>
      </c>
      <c r="L71" s="100"/>
      <c r="M71" s="184"/>
      <c r="N71" s="975"/>
      <c r="O71" s="1042">
        <v>0</v>
      </c>
    </row>
    <row r="72" spans="1:22" ht="12.95" customHeight="1">
      <c r="A72" s="1325" t="s">
        <v>16</v>
      </c>
      <c r="B72" s="1326"/>
      <c r="C72" s="102"/>
      <c r="D72" s="109" t="s">
        <v>15</v>
      </c>
      <c r="E72" s="110">
        <f>SUM(E61:E71)</f>
        <v>0</v>
      </c>
      <c r="F72" s="109" t="s">
        <v>15</v>
      </c>
      <c r="G72" s="110">
        <f>SUM(G61:G71)</f>
        <v>70000</v>
      </c>
      <c r="H72" s="109" t="s">
        <v>15</v>
      </c>
      <c r="I72" s="110">
        <f>SUM(I61:I71)</f>
        <v>50000</v>
      </c>
      <c r="J72" s="109" t="s">
        <v>15</v>
      </c>
      <c r="K72" s="110">
        <f>SUM(K61:K71)</f>
        <v>120000</v>
      </c>
      <c r="L72" s="109" t="s">
        <v>15</v>
      </c>
      <c r="M72" s="110">
        <f>SUM(M61:M71)</f>
        <v>0</v>
      </c>
      <c r="N72" s="977" t="s">
        <v>15</v>
      </c>
      <c r="O72" s="1033">
        <f>M72-K72</f>
        <v>-120000</v>
      </c>
      <c r="P72" s="963">
        <f>O72-K72</f>
        <v>-240000</v>
      </c>
    </row>
    <row r="73" spans="1:22" ht="12.95" customHeight="1">
      <c r="A73" s="1325"/>
      <c r="B73" s="1326"/>
      <c r="C73" s="102"/>
      <c r="D73" s="86"/>
      <c r="F73" s="100"/>
      <c r="G73" s="7"/>
      <c r="H73" s="100"/>
      <c r="I73" s="7"/>
      <c r="J73" s="100"/>
      <c r="K73" s="7"/>
      <c r="L73" s="100"/>
      <c r="M73" s="7"/>
      <c r="N73" s="971"/>
      <c r="O73" s="1035"/>
    </row>
    <row r="74" spans="1:22" ht="12.95" customHeight="1">
      <c r="A74" s="1336" t="s">
        <v>277</v>
      </c>
      <c r="B74" s="1337"/>
      <c r="C74" s="177"/>
      <c r="D74" s="125" t="s">
        <v>15</v>
      </c>
      <c r="E74" s="126">
        <f>E72+E58+E37</f>
        <v>5764246.0199999996</v>
      </c>
      <c r="F74" s="125" t="s">
        <v>15</v>
      </c>
      <c r="G74" s="126">
        <f>G72+G58+G37</f>
        <v>3045539.81</v>
      </c>
      <c r="H74" s="125" t="s">
        <v>15</v>
      </c>
      <c r="I74" s="126">
        <f>I72+I58+I37</f>
        <v>5417235.1900000004</v>
      </c>
      <c r="J74" s="125" t="s">
        <v>15</v>
      </c>
      <c r="K74" s="126">
        <f>K72+K58+K37</f>
        <v>8462775</v>
      </c>
      <c r="L74" s="125" t="s">
        <v>15</v>
      </c>
      <c r="M74" s="126">
        <f>M72+M58+M37</f>
        <v>8210013</v>
      </c>
      <c r="N74" s="981"/>
      <c r="O74" s="1044"/>
      <c r="P74" s="1044">
        <f>P72+P58+P37</f>
        <v>-4327000</v>
      </c>
    </row>
    <row r="75" spans="1:22" ht="16.5" customHeight="1">
      <c r="A75" s="62" t="s">
        <v>1623</v>
      </c>
      <c r="B75" s="911"/>
      <c r="C75" s="108"/>
      <c r="D75" s="149"/>
      <c r="E75" s="175"/>
      <c r="F75" s="149"/>
      <c r="G75" s="175"/>
      <c r="H75" s="149"/>
      <c r="I75" s="175"/>
      <c r="J75" s="149"/>
      <c r="K75" s="175"/>
      <c r="L75" s="149"/>
      <c r="M75" s="175"/>
      <c r="N75" s="1002"/>
      <c r="O75" s="1039"/>
      <c r="P75" s="1039"/>
    </row>
    <row r="76" spans="1:22" ht="9" customHeight="1">
      <c r="A76" s="147"/>
      <c r="B76" s="147"/>
      <c r="C76" s="108"/>
      <c r="D76" s="149"/>
      <c r="E76" s="175"/>
      <c r="F76" s="149"/>
      <c r="G76" s="175"/>
      <c r="H76" s="149"/>
      <c r="I76" s="175"/>
      <c r="J76" s="149"/>
      <c r="K76" s="175"/>
      <c r="L76" s="149"/>
      <c r="M76" s="175"/>
      <c r="N76" s="1002"/>
      <c r="O76" s="1039"/>
    </row>
    <row r="77" spans="1:22" s="127" customFormat="1">
      <c r="A77" s="127" t="s">
        <v>187</v>
      </c>
      <c r="C77" s="128" t="s">
        <v>188</v>
      </c>
      <c r="F77" s="129"/>
      <c r="I77" s="127" t="s">
        <v>190</v>
      </c>
      <c r="L77" s="129"/>
      <c r="N77" s="964"/>
      <c r="O77" s="985"/>
      <c r="P77" s="964"/>
      <c r="Q77" s="985"/>
      <c r="R77" s="1009"/>
      <c r="S77" s="1009"/>
      <c r="T77" s="130"/>
      <c r="U77" s="130"/>
      <c r="V77" s="130"/>
    </row>
    <row r="80" spans="1:22" ht="12" customHeight="1">
      <c r="B80" s="185"/>
      <c r="F80" s="185"/>
      <c r="G80" s="185"/>
      <c r="H80" s="185"/>
      <c r="I80" s="185"/>
      <c r="J80" s="185"/>
      <c r="K80" s="185"/>
      <c r="L80" s="774"/>
      <c r="M80" s="774"/>
      <c r="N80" s="967"/>
      <c r="O80" s="967"/>
      <c r="R80" s="961" t="s">
        <v>53</v>
      </c>
    </row>
    <row r="81" spans="1:19" s="89" customFormat="1">
      <c r="A81" s="1323" t="s">
        <v>1603</v>
      </c>
      <c r="B81" s="1323"/>
      <c r="C81" s="1323" t="s">
        <v>1584</v>
      </c>
      <c r="D81" s="1323"/>
      <c r="E81" s="1323"/>
      <c r="F81" s="1323"/>
      <c r="G81" s="1323"/>
      <c r="H81" s="131"/>
      <c r="I81" s="1323" t="str">
        <f>admin!I86</f>
        <v>(Sgd.) ATTY. JOSE JOEL P. DOROMAL</v>
      </c>
      <c r="J81" s="1323"/>
      <c r="K81" s="1323"/>
      <c r="L81" s="1323"/>
      <c r="M81" s="1323"/>
      <c r="N81" s="986"/>
      <c r="O81" s="986"/>
      <c r="P81" s="965"/>
      <c r="Q81" s="965"/>
      <c r="R81" s="965"/>
      <c r="S81" s="965"/>
    </row>
    <row r="82" spans="1:19">
      <c r="A82" s="1322" t="s">
        <v>205</v>
      </c>
      <c r="B82" s="1322"/>
      <c r="C82" s="1322" t="s">
        <v>206</v>
      </c>
      <c r="D82" s="1322"/>
      <c r="E82" s="1322"/>
      <c r="F82" s="1322"/>
      <c r="G82" s="1322"/>
      <c r="I82" s="1322" t="s">
        <v>192</v>
      </c>
      <c r="J82" s="1322"/>
      <c r="K82" s="1322"/>
      <c r="L82" s="1322"/>
      <c r="M82" s="1322"/>
      <c r="N82" s="987"/>
      <c r="O82" s="987"/>
    </row>
    <row r="85" spans="1:19" s="961" customFormat="1">
      <c r="A85" s="961" t="s">
        <v>1078</v>
      </c>
      <c r="D85" s="966"/>
      <c r="F85" s="966"/>
      <c r="H85" s="966"/>
      <c r="J85" s="966"/>
      <c r="L85" s="966"/>
      <c r="N85" s="966"/>
    </row>
    <row r="86" spans="1:19" s="961" customFormat="1">
      <c r="A86" s="961" t="s">
        <v>1085</v>
      </c>
      <c r="D86" s="966"/>
      <c r="F86" s="966"/>
      <c r="H86" s="966"/>
      <c r="J86" s="966"/>
      <c r="L86" s="966"/>
      <c r="N86" s="966"/>
    </row>
    <row r="132" spans="1:5">
      <c r="A132" s="1349" t="s">
        <v>245</v>
      </c>
      <c r="B132" s="1350"/>
      <c r="C132" s="1350"/>
      <c r="D132" s="1350"/>
      <c r="E132" s="1351"/>
    </row>
    <row r="133" spans="1:5">
      <c r="A133" s="114"/>
      <c r="B133" s="92"/>
      <c r="C133" s="92"/>
      <c r="D133" s="116"/>
      <c r="E133" s="115"/>
    </row>
    <row r="134" spans="1:5">
      <c r="A134" s="1324" t="s">
        <v>60</v>
      </c>
      <c r="B134" s="1311"/>
      <c r="C134" s="108"/>
      <c r="D134" s="111"/>
      <c r="E134" s="98"/>
    </row>
    <row r="135" spans="1:5">
      <c r="A135" s="101" t="s">
        <v>233</v>
      </c>
      <c r="B135" s="108"/>
      <c r="C135" s="108"/>
      <c r="D135" s="111"/>
      <c r="E135" s="135" t="s">
        <v>228</v>
      </c>
    </row>
    <row r="136" spans="1:5">
      <c r="A136" s="101"/>
      <c r="B136" s="108"/>
      <c r="C136" s="108"/>
      <c r="D136" s="111"/>
      <c r="E136" s="98"/>
    </row>
    <row r="137" spans="1:5">
      <c r="A137" s="136" t="s">
        <v>61</v>
      </c>
      <c r="B137" s="108"/>
      <c r="C137" s="108"/>
      <c r="D137" s="111" t="s">
        <v>15</v>
      </c>
      <c r="E137" s="7">
        <v>552000</v>
      </c>
    </row>
    <row r="138" spans="1:5">
      <c r="A138" s="136" t="s">
        <v>83</v>
      </c>
      <c r="B138" s="108"/>
      <c r="C138" s="108"/>
      <c r="D138" s="111"/>
      <c r="E138" s="7">
        <v>85000</v>
      </c>
    </row>
    <row r="139" spans="1:5">
      <c r="A139" s="136" t="s">
        <v>84</v>
      </c>
      <c r="B139" s="108"/>
      <c r="C139" s="108"/>
      <c r="D139" s="111"/>
      <c r="E139" s="7">
        <v>30000</v>
      </c>
    </row>
    <row r="140" spans="1:5">
      <c r="A140" s="136" t="s">
        <v>95</v>
      </c>
      <c r="B140" s="108"/>
      <c r="C140" s="108"/>
      <c r="D140" s="111"/>
      <c r="E140" s="7">
        <v>100000</v>
      </c>
    </row>
    <row r="141" spans="1:5">
      <c r="A141" s="136" t="s">
        <v>96</v>
      </c>
      <c r="B141" s="108"/>
      <c r="C141" s="108"/>
      <c r="D141" s="111"/>
      <c r="E141" s="7">
        <v>350000</v>
      </c>
    </row>
    <row r="142" spans="1:5">
      <c r="A142" s="136" t="s">
        <v>97</v>
      </c>
      <c r="B142" s="108"/>
      <c r="C142" s="108"/>
      <c r="D142" s="111"/>
      <c r="E142" s="7">
        <v>50000</v>
      </c>
    </row>
    <row r="143" spans="1:5">
      <c r="A143" s="136" t="s">
        <v>98</v>
      </c>
      <c r="B143" s="108"/>
      <c r="C143" s="108"/>
      <c r="D143" s="111"/>
      <c r="E143" s="7">
        <v>25000</v>
      </c>
    </row>
    <row r="144" spans="1:5">
      <c r="A144" s="136" t="s">
        <v>99</v>
      </c>
      <c r="B144" s="108"/>
      <c r="C144" s="108"/>
      <c r="D144" s="111"/>
      <c r="E144" s="7">
        <v>50000</v>
      </c>
    </row>
    <row r="145" spans="1:5">
      <c r="A145" s="136" t="s">
        <v>100</v>
      </c>
      <c r="B145" s="108"/>
      <c r="C145" s="108"/>
      <c r="D145" s="111"/>
      <c r="E145" s="7">
        <v>50000</v>
      </c>
    </row>
    <row r="146" spans="1:5">
      <c r="A146" s="136" t="s">
        <v>229</v>
      </c>
      <c r="B146" s="108"/>
      <c r="C146" s="108"/>
      <c r="D146" s="111"/>
      <c r="E146" s="7">
        <v>70000</v>
      </c>
    </row>
    <row r="147" spans="1:5">
      <c r="A147" s="136" t="s">
        <v>230</v>
      </c>
      <c r="B147" s="108"/>
      <c r="C147" s="108"/>
      <c r="D147" s="111"/>
      <c r="E147" s="7">
        <v>50000</v>
      </c>
    </row>
    <row r="148" spans="1:5">
      <c r="A148" s="136" t="s">
        <v>231</v>
      </c>
      <c r="B148" s="108"/>
      <c r="C148" s="108"/>
      <c r="D148" s="111"/>
      <c r="E148" s="7">
        <v>150000</v>
      </c>
    </row>
    <row r="149" spans="1:5" ht="15.75">
      <c r="A149" s="136" t="s">
        <v>77</v>
      </c>
      <c r="B149" s="108"/>
      <c r="C149" s="108"/>
      <c r="D149" s="111"/>
      <c r="E149" s="137">
        <v>80000</v>
      </c>
    </row>
    <row r="150" spans="1:5">
      <c r="A150" s="1320" t="s">
        <v>64</v>
      </c>
      <c r="B150" s="1321"/>
      <c r="C150" s="108"/>
      <c r="D150" s="111" t="s">
        <v>15</v>
      </c>
      <c r="E150" s="7">
        <f>SUM(E137:E149)</f>
        <v>1642000</v>
      </c>
    </row>
    <row r="151" spans="1:5">
      <c r="A151" s="138"/>
      <c r="B151" s="90"/>
      <c r="C151" s="90"/>
      <c r="D151" s="139"/>
      <c r="E151" s="112"/>
    </row>
    <row r="163" spans="1:5">
      <c r="A163" s="1349" t="s">
        <v>245</v>
      </c>
      <c r="B163" s="1350"/>
      <c r="C163" s="1350"/>
      <c r="D163" s="1350"/>
      <c r="E163" s="1351"/>
    </row>
    <row r="164" spans="1:5">
      <c r="A164" s="114"/>
      <c r="B164" s="92"/>
      <c r="C164" s="92"/>
      <c r="D164" s="116"/>
      <c r="E164" s="115"/>
    </row>
    <row r="165" spans="1:5">
      <c r="A165" s="1324" t="s">
        <v>60</v>
      </c>
      <c r="B165" s="1311"/>
      <c r="C165" s="108"/>
      <c r="D165" s="111"/>
      <c r="E165" s="98"/>
    </row>
    <row r="166" spans="1:5">
      <c r="A166" s="101" t="s">
        <v>233</v>
      </c>
      <c r="B166" s="108"/>
      <c r="C166" s="108"/>
      <c r="D166" s="111"/>
      <c r="E166" s="135" t="s">
        <v>300</v>
      </c>
    </row>
    <row r="167" spans="1:5">
      <c r="A167" s="101"/>
      <c r="B167" s="108"/>
      <c r="C167" s="108"/>
      <c r="D167" s="111"/>
      <c r="E167" s="98"/>
    </row>
    <row r="168" spans="1:5">
      <c r="A168" s="136" t="s">
        <v>61</v>
      </c>
      <c r="B168" s="108"/>
      <c r="C168" s="108"/>
      <c r="D168" s="111" t="s">
        <v>15</v>
      </c>
      <c r="E168" s="7">
        <v>392000</v>
      </c>
    </row>
    <row r="169" spans="1:5">
      <c r="A169" s="136" t="s">
        <v>83</v>
      </c>
      <c r="B169" s="108"/>
      <c r="C169" s="108"/>
      <c r="D169" s="111"/>
      <c r="E169" s="7">
        <v>85000</v>
      </c>
    </row>
    <row r="170" spans="1:5">
      <c r="A170" s="136" t="s">
        <v>84</v>
      </c>
      <c r="B170" s="108"/>
      <c r="C170" s="108"/>
      <c r="D170" s="111"/>
      <c r="E170" s="7">
        <v>30000</v>
      </c>
    </row>
    <row r="171" spans="1:5">
      <c r="A171" s="136" t="s">
        <v>95</v>
      </c>
      <c r="B171" s="108"/>
      <c r="C171" s="108"/>
      <c r="D171" s="111"/>
      <c r="E171" s="7">
        <v>150000</v>
      </c>
    </row>
    <row r="172" spans="1:5">
      <c r="A172" s="136" t="s">
        <v>96</v>
      </c>
      <c r="B172" s="108"/>
      <c r="C172" s="108"/>
      <c r="D172" s="111"/>
      <c r="E172" s="7">
        <v>400000</v>
      </c>
    </row>
    <row r="173" spans="1:5">
      <c r="A173" s="136" t="s">
        <v>97</v>
      </c>
      <c r="B173" s="108"/>
      <c r="C173" s="108"/>
      <c r="D173" s="111"/>
      <c r="E173" s="7">
        <v>50000</v>
      </c>
    </row>
    <row r="174" spans="1:5">
      <c r="A174" s="136" t="s">
        <v>98</v>
      </c>
      <c r="B174" s="108"/>
      <c r="C174" s="108"/>
      <c r="D174" s="111"/>
      <c r="E174" s="7">
        <v>50000</v>
      </c>
    </row>
    <row r="175" spans="1:5">
      <c r="A175" s="136" t="s">
        <v>99</v>
      </c>
      <c r="B175" s="108"/>
      <c r="C175" s="108"/>
      <c r="D175" s="111"/>
      <c r="E175" s="7">
        <v>50000</v>
      </c>
    </row>
    <row r="176" spans="1:5">
      <c r="A176" s="136" t="s">
        <v>100</v>
      </c>
      <c r="B176" s="108"/>
      <c r="C176" s="108"/>
      <c r="D176" s="111"/>
      <c r="E176" s="7">
        <v>50000</v>
      </c>
    </row>
    <row r="177" spans="1:5">
      <c r="A177" s="136" t="s">
        <v>305</v>
      </c>
      <c r="B177" s="108"/>
      <c r="C177" s="108"/>
      <c r="D177" s="111"/>
      <c r="E177" s="7">
        <v>50000</v>
      </c>
    </row>
    <row r="178" spans="1:5">
      <c r="A178" s="136" t="s">
        <v>229</v>
      </c>
      <c r="B178" s="108"/>
      <c r="C178" s="108"/>
      <c r="D178" s="111"/>
      <c r="E178" s="7">
        <v>80000</v>
      </c>
    </row>
    <row r="179" spans="1:5">
      <c r="A179" s="136" t="s">
        <v>230</v>
      </c>
      <c r="B179" s="108"/>
      <c r="C179" s="108"/>
      <c r="D179" s="111"/>
      <c r="E179" s="7">
        <v>50000</v>
      </c>
    </row>
    <row r="180" spans="1:5">
      <c r="A180" s="136" t="s">
        <v>306</v>
      </c>
      <c r="B180" s="108"/>
      <c r="C180" s="108"/>
      <c r="D180" s="111"/>
      <c r="E180" s="7">
        <v>20000</v>
      </c>
    </row>
    <row r="181" spans="1:5">
      <c r="A181" s="136" t="s">
        <v>231</v>
      </c>
      <c r="B181" s="108"/>
      <c r="C181" s="108"/>
      <c r="D181" s="111"/>
      <c r="E181" s="7">
        <v>300000</v>
      </c>
    </row>
    <row r="182" spans="1:5">
      <c r="A182" s="136" t="s">
        <v>307</v>
      </c>
      <c r="B182" s="108"/>
      <c r="C182" s="108"/>
      <c r="D182" s="111"/>
      <c r="E182" s="7">
        <v>100000</v>
      </c>
    </row>
    <row r="183" spans="1:5">
      <c r="A183" s="136" t="s">
        <v>308</v>
      </c>
      <c r="B183" s="108"/>
      <c r="C183" s="108"/>
      <c r="D183" s="111"/>
      <c r="E183" s="7">
        <v>50000</v>
      </c>
    </row>
    <row r="184" spans="1:5">
      <c r="A184" s="136" t="s">
        <v>77</v>
      </c>
      <c r="B184" s="108"/>
      <c r="C184" s="108"/>
      <c r="D184" s="111"/>
      <c r="E184" s="7">
        <v>80000</v>
      </c>
    </row>
    <row r="185" spans="1:5" ht="15.75">
      <c r="A185" s="136" t="s">
        <v>323</v>
      </c>
      <c r="B185" s="108"/>
      <c r="C185" s="108"/>
      <c r="D185" s="111"/>
      <c r="E185" s="137">
        <v>150000</v>
      </c>
    </row>
    <row r="186" spans="1:5">
      <c r="A186" s="1320" t="s">
        <v>64</v>
      </c>
      <c r="B186" s="1321"/>
      <c r="C186" s="108"/>
      <c r="D186" s="111" t="s">
        <v>15</v>
      </c>
      <c r="E186" s="7">
        <f>SUM(E168:E185)</f>
        <v>2137000</v>
      </c>
    </row>
    <row r="187" spans="1:5">
      <c r="A187" s="138"/>
      <c r="B187" s="90"/>
      <c r="C187" s="90"/>
      <c r="D187" s="139"/>
      <c r="E187" s="112"/>
    </row>
    <row r="192" spans="1:5">
      <c r="A192" s="1349" t="s">
        <v>245</v>
      </c>
      <c r="B192" s="1350"/>
      <c r="C192" s="1350"/>
      <c r="D192" s="1350"/>
      <c r="E192" s="1351"/>
    </row>
    <row r="193" spans="1:5">
      <c r="A193" s="114"/>
      <c r="B193" s="92"/>
      <c r="C193" s="92"/>
      <c r="D193" s="116"/>
      <c r="E193" s="115"/>
    </row>
    <row r="194" spans="1:5">
      <c r="A194" s="1324" t="s">
        <v>60</v>
      </c>
      <c r="B194" s="1311"/>
      <c r="C194" s="108"/>
      <c r="D194" s="111"/>
      <c r="E194" s="98"/>
    </row>
    <row r="195" spans="1:5">
      <c r="A195" s="101" t="s">
        <v>233</v>
      </c>
      <c r="B195" s="108"/>
      <c r="C195" s="108"/>
      <c r="D195" s="111"/>
      <c r="E195" s="135" t="s">
        <v>300</v>
      </c>
    </row>
    <row r="196" spans="1:5">
      <c r="A196" s="101"/>
      <c r="B196" s="108"/>
      <c r="C196" s="108"/>
      <c r="D196" s="111"/>
      <c r="E196" s="98"/>
    </row>
    <row r="197" spans="1:5">
      <c r="A197" s="136" t="s">
        <v>61</v>
      </c>
      <c r="B197" s="108"/>
      <c r="C197" s="108"/>
      <c r="D197" s="111" t="s">
        <v>15</v>
      </c>
      <c r="E197" s="7">
        <v>392000</v>
      </c>
    </row>
    <row r="198" spans="1:5">
      <c r="A198" s="136" t="s">
        <v>83</v>
      </c>
      <c r="B198" s="108"/>
      <c r="C198" s="108"/>
      <c r="D198" s="111"/>
      <c r="E198" s="7">
        <v>85000</v>
      </c>
    </row>
    <row r="199" spans="1:5">
      <c r="A199" s="136" t="s">
        <v>84</v>
      </c>
      <c r="B199" s="108"/>
      <c r="C199" s="108"/>
      <c r="D199" s="111"/>
      <c r="E199" s="7">
        <v>30000</v>
      </c>
    </row>
    <row r="200" spans="1:5">
      <c r="A200" s="136" t="s">
        <v>95</v>
      </c>
      <c r="B200" s="108"/>
      <c r="C200" s="108"/>
      <c r="D200" s="111"/>
      <c r="E200" s="7">
        <v>150000</v>
      </c>
    </row>
    <row r="201" spans="1:5">
      <c r="A201" s="136" t="s">
        <v>96</v>
      </c>
      <c r="B201" s="108"/>
      <c r="C201" s="108"/>
      <c r="D201" s="111"/>
      <c r="E201" s="7">
        <v>400000</v>
      </c>
    </row>
    <row r="202" spans="1:5">
      <c r="A202" s="136" t="s">
        <v>97</v>
      </c>
      <c r="B202" s="108"/>
      <c r="C202" s="108"/>
      <c r="D202" s="111"/>
      <c r="E202" s="7">
        <v>50000</v>
      </c>
    </row>
    <row r="203" spans="1:5">
      <c r="A203" s="136" t="s">
        <v>98</v>
      </c>
      <c r="B203" s="108"/>
      <c r="C203" s="108"/>
      <c r="D203" s="111"/>
      <c r="E203" s="7">
        <v>50000</v>
      </c>
    </row>
    <row r="204" spans="1:5">
      <c r="A204" s="136" t="s">
        <v>99</v>
      </c>
      <c r="B204" s="108"/>
      <c r="C204" s="108"/>
      <c r="D204" s="111"/>
      <c r="E204" s="7">
        <v>50000</v>
      </c>
    </row>
    <row r="205" spans="1:5">
      <c r="A205" s="136" t="s">
        <v>100</v>
      </c>
      <c r="B205" s="108"/>
      <c r="C205" s="108"/>
      <c r="D205" s="111"/>
      <c r="E205" s="7">
        <v>50000</v>
      </c>
    </row>
    <row r="206" spans="1:5">
      <c r="A206" s="136" t="s">
        <v>305</v>
      </c>
      <c r="B206" s="108"/>
      <c r="C206" s="108"/>
      <c r="D206" s="111"/>
      <c r="E206" s="7">
        <v>50000</v>
      </c>
    </row>
    <row r="207" spans="1:5">
      <c r="A207" s="136" t="s">
        <v>229</v>
      </c>
      <c r="B207" s="108"/>
      <c r="C207" s="108"/>
      <c r="D207" s="111"/>
      <c r="E207" s="7">
        <v>80000</v>
      </c>
    </row>
    <row r="208" spans="1:5">
      <c r="A208" s="136" t="s">
        <v>230</v>
      </c>
      <c r="B208" s="108"/>
      <c r="C208" s="108"/>
      <c r="D208" s="111"/>
      <c r="E208" s="7">
        <v>50000</v>
      </c>
    </row>
    <row r="209" spans="1:5">
      <c r="A209" s="136" t="s">
        <v>306</v>
      </c>
      <c r="B209" s="108"/>
      <c r="C209" s="108"/>
      <c r="D209" s="111"/>
      <c r="E209" s="7">
        <v>20000</v>
      </c>
    </row>
    <row r="210" spans="1:5">
      <c r="A210" s="136" t="s">
        <v>231</v>
      </c>
      <c r="B210" s="108"/>
      <c r="C210" s="108"/>
      <c r="D210" s="111"/>
      <c r="E210" s="7">
        <v>300000</v>
      </c>
    </row>
    <row r="211" spans="1:5">
      <c r="A211" s="136" t="s">
        <v>307</v>
      </c>
      <c r="B211" s="108"/>
      <c r="C211" s="108"/>
      <c r="D211" s="111"/>
      <c r="E211" s="7">
        <v>100000</v>
      </c>
    </row>
    <row r="212" spans="1:5">
      <c r="A212" s="136" t="s">
        <v>308</v>
      </c>
      <c r="B212" s="108"/>
      <c r="C212" s="108"/>
      <c r="D212" s="111"/>
      <c r="E212" s="7">
        <v>50000</v>
      </c>
    </row>
    <row r="213" spans="1:5">
      <c r="A213" s="136" t="s">
        <v>77</v>
      </c>
      <c r="B213" s="108"/>
      <c r="C213" s="108"/>
      <c r="D213" s="111"/>
      <c r="E213" s="7">
        <v>80000</v>
      </c>
    </row>
    <row r="214" spans="1:5" ht="15.75">
      <c r="A214" s="136" t="s">
        <v>323</v>
      </c>
      <c r="B214" s="108"/>
      <c r="C214" s="108"/>
      <c r="D214" s="111"/>
      <c r="E214" s="137">
        <v>150000</v>
      </c>
    </row>
    <row r="215" spans="1:5">
      <c r="A215" s="1320" t="s">
        <v>64</v>
      </c>
      <c r="B215" s="1321"/>
      <c r="C215" s="108"/>
      <c r="D215" s="111" t="s">
        <v>15</v>
      </c>
      <c r="E215" s="7">
        <f>SUM(E197:E214)</f>
        <v>2137000</v>
      </c>
    </row>
    <row r="216" spans="1:5">
      <c r="A216" s="138"/>
      <c r="B216" s="90"/>
      <c r="C216" s="90"/>
      <c r="D216" s="139"/>
      <c r="E216" s="112"/>
    </row>
    <row r="218" spans="1:5">
      <c r="A218" s="134" t="s">
        <v>311</v>
      </c>
      <c r="B218" s="92"/>
      <c r="C218" s="92"/>
      <c r="D218" s="116"/>
      <c r="E218" s="115"/>
    </row>
    <row r="219" spans="1:5">
      <c r="A219" s="1324" t="s">
        <v>60</v>
      </c>
      <c r="B219" s="1311"/>
      <c r="C219" s="108"/>
      <c r="D219" s="111"/>
      <c r="E219" s="98"/>
    </row>
    <row r="220" spans="1:5">
      <c r="A220" s="101" t="s">
        <v>233</v>
      </c>
      <c r="B220" s="108"/>
      <c r="C220" s="108"/>
      <c r="D220" s="111"/>
      <c r="E220" s="135" t="s">
        <v>300</v>
      </c>
    </row>
    <row r="221" spans="1:5">
      <c r="A221" s="101"/>
      <c r="B221" s="108"/>
      <c r="C221" s="108"/>
      <c r="D221" s="111"/>
      <c r="E221" s="98"/>
    </row>
    <row r="222" spans="1:5">
      <c r="A222" s="136" t="s">
        <v>61</v>
      </c>
      <c r="B222" s="108"/>
      <c r="C222" s="108"/>
      <c r="D222" s="111" t="s">
        <v>15</v>
      </c>
      <c r="E222" s="7">
        <v>178000</v>
      </c>
    </row>
    <row r="223" spans="1:5" ht="15.75">
      <c r="A223" s="136" t="s">
        <v>312</v>
      </c>
      <c r="B223" s="108"/>
      <c r="C223" s="108"/>
      <c r="D223" s="111"/>
      <c r="E223" s="137">
        <v>273000</v>
      </c>
    </row>
    <row r="224" spans="1:5">
      <c r="A224" s="1347" t="s">
        <v>64</v>
      </c>
      <c r="B224" s="1348"/>
      <c r="C224" s="90"/>
      <c r="D224" s="139" t="s">
        <v>15</v>
      </c>
      <c r="E224" s="105">
        <f>SUM(E222:E223)</f>
        <v>451000</v>
      </c>
    </row>
  </sheetData>
  <sheetProtection algorithmName="SHA-512" hashValue="vsSyosj7bVdPBtSRmX2bwKQQou9UFXd8By+Hp4CNu1GyrTMsTclGsWe78Wyjqy3F4k0tZoVbTZll9aCYmSmf5Q==" saltValue="HCTa7oNCMl8HiWECDOWKkg==" spinCount="100000" sheet="1" objects="1" scenarios="1"/>
  <mergeCells count="38">
    <mergeCell ref="L11:M11"/>
    <mergeCell ref="L12:M12"/>
    <mergeCell ref="L13:M13"/>
    <mergeCell ref="A58:B58"/>
    <mergeCell ref="A3:M3"/>
    <mergeCell ref="A4:M4"/>
    <mergeCell ref="H13:I13"/>
    <mergeCell ref="F12:G12"/>
    <mergeCell ref="F11:K11"/>
    <mergeCell ref="A132:E132"/>
    <mergeCell ref="C81:G81"/>
    <mergeCell ref="A163:E163"/>
    <mergeCell ref="A165:B165"/>
    <mergeCell ref="A150:B150"/>
    <mergeCell ref="A134:B134"/>
    <mergeCell ref="A81:B81"/>
    <mergeCell ref="A73:B73"/>
    <mergeCell ref="A82:B82"/>
    <mergeCell ref="C82:G82"/>
    <mergeCell ref="A74:B74"/>
    <mergeCell ref="F13:G13"/>
    <mergeCell ref="A37:B37"/>
    <mergeCell ref="I81:M81"/>
    <mergeCell ref="I82:M82"/>
    <mergeCell ref="N11:O13"/>
    <mergeCell ref="A219:B219"/>
    <mergeCell ref="A224:B224"/>
    <mergeCell ref="D11:E11"/>
    <mergeCell ref="D13:E13"/>
    <mergeCell ref="J12:K13"/>
    <mergeCell ref="H12:I12"/>
    <mergeCell ref="A192:E192"/>
    <mergeCell ref="A194:B194"/>
    <mergeCell ref="A215:B215"/>
    <mergeCell ref="D12:E12"/>
    <mergeCell ref="A72:B72"/>
    <mergeCell ref="A12:B12"/>
    <mergeCell ref="A186:B186"/>
  </mergeCells>
  <phoneticPr fontId="0" type="noConversion"/>
  <pageMargins left="0.15" right="0.2" top="1" bottom="1" header="0.5" footer="0.39"/>
  <pageSetup paperSize="14" orientation="portrait" verticalDpi="300" copies="3" r:id="rId1"/>
  <headerFooter alignWithMargins="0">
    <oddHeader>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V216"/>
  <sheetViews>
    <sheetView topLeftCell="A58" zoomScale="145" zoomScaleNormal="145" workbookViewId="0">
      <selection activeCell="N22" sqref="N22"/>
    </sheetView>
  </sheetViews>
  <sheetFormatPr defaultColWidth="9.140625" defaultRowHeight="13.5"/>
  <cols>
    <col min="1" max="1" width="5.28515625" style="133" customWidth="1"/>
    <col min="2" max="2" width="28.5703125" style="133" customWidth="1"/>
    <col min="3" max="3" width="8.5703125" style="133" bestFit="1" customWidth="1"/>
    <col min="4" max="4" width="2.140625" style="87" customWidth="1"/>
    <col min="5" max="5" width="9.85546875" style="133" customWidth="1"/>
    <col min="6" max="6" width="1.85546875" style="87" customWidth="1"/>
    <col min="7" max="7" width="9.7109375" style="133" customWidth="1"/>
    <col min="8" max="8" width="1.85546875" style="87" customWidth="1"/>
    <col min="9" max="9" width="10.7109375" style="133" bestFit="1" customWidth="1"/>
    <col min="10" max="10" width="1.7109375" style="87" customWidth="1"/>
    <col min="11" max="11" width="11.140625" style="133" customWidth="1"/>
    <col min="12" max="12" width="1.5703125" style="87" customWidth="1"/>
    <col min="13" max="13" width="10.5703125" style="133" customWidth="1"/>
    <col min="14" max="14" width="1.5703125" style="87" hidden="1" customWidth="1"/>
    <col min="15" max="15" width="10.140625" style="987" hidden="1" customWidth="1"/>
    <col min="16" max="16" width="0.140625" style="987" customWidth="1"/>
    <col min="17" max="17" width="11.7109375" style="987" customWidth="1"/>
    <col min="18" max="20" width="9.140625" style="987"/>
    <col min="21" max="16384" width="9.140625" style="133"/>
  </cols>
  <sheetData>
    <row r="1" spans="1:20">
      <c r="A1" s="133" t="s">
        <v>186</v>
      </c>
    </row>
    <row r="2" spans="1:20" ht="12.75" customHeight="1"/>
    <row r="3" spans="1:20">
      <c r="A3" s="1323" t="s">
        <v>195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"/>
      <c r="O3" s="986"/>
      <c r="P3" s="962"/>
      <c r="Q3" s="962"/>
      <c r="R3" s="962"/>
      <c r="S3" s="962"/>
      <c r="T3" s="962"/>
    </row>
    <row r="4" spans="1:20">
      <c r="A4" s="1323" t="s">
        <v>401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"/>
      <c r="O4" s="986"/>
      <c r="P4" s="962"/>
      <c r="Q4" s="962"/>
      <c r="R4" s="962"/>
      <c r="S4" s="962"/>
      <c r="T4" s="962"/>
    </row>
    <row r="6" spans="1:20">
      <c r="A6" s="132" t="s">
        <v>85</v>
      </c>
      <c r="B6" s="187" t="s">
        <v>418</v>
      </c>
      <c r="C6" s="187"/>
    </row>
    <row r="7" spans="1:20" ht="13.5" hidden="1" customHeight="1">
      <c r="A7" s="133" t="s">
        <v>2</v>
      </c>
      <c r="B7" s="188" t="s">
        <v>419</v>
      </c>
      <c r="C7" s="188"/>
      <c r="F7" s="804"/>
      <c r="G7" s="804"/>
      <c r="H7" s="804"/>
      <c r="I7" s="804"/>
      <c r="J7" s="804"/>
      <c r="K7" s="804"/>
      <c r="L7" s="804"/>
      <c r="M7" s="804"/>
      <c r="N7" s="804"/>
      <c r="O7" s="1034"/>
    </row>
    <row r="8" spans="1:20" ht="13.5" hidden="1" customHeight="1">
      <c r="A8" s="133" t="s">
        <v>3</v>
      </c>
      <c r="B8" s="188" t="s">
        <v>420</v>
      </c>
      <c r="C8" s="188"/>
      <c r="F8" s="133"/>
      <c r="H8" s="133"/>
      <c r="J8" s="133"/>
      <c r="L8" s="133"/>
      <c r="N8" s="133"/>
    </row>
    <row r="9" spans="1:20" ht="13.5" hidden="1" customHeight="1">
      <c r="A9" s="133" t="s">
        <v>4</v>
      </c>
      <c r="B9" s="188" t="s">
        <v>404</v>
      </c>
      <c r="C9" s="188"/>
    </row>
    <row r="10" spans="1:20">
      <c r="B10" s="189"/>
      <c r="C10" s="189"/>
    </row>
    <row r="11" spans="1:20">
      <c r="A11" s="190"/>
      <c r="B11" s="191"/>
      <c r="C11" s="2" t="s">
        <v>5</v>
      </c>
      <c r="D11" s="1300" t="s">
        <v>7</v>
      </c>
      <c r="E11" s="1300"/>
      <c r="F11" s="1301" t="s">
        <v>1304</v>
      </c>
      <c r="G11" s="1302"/>
      <c r="H11" s="1302"/>
      <c r="I11" s="1302"/>
      <c r="J11" s="1302"/>
      <c r="K11" s="1303"/>
      <c r="L11" s="1300" t="s">
        <v>8</v>
      </c>
      <c r="M11" s="1300"/>
      <c r="N11" s="1292" t="s">
        <v>494</v>
      </c>
      <c r="O11" s="1293"/>
    </row>
    <row r="12" spans="1:20">
      <c r="A12" s="1334" t="s">
        <v>34</v>
      </c>
      <c r="B12" s="1335"/>
      <c r="C12" s="3" t="s">
        <v>6</v>
      </c>
      <c r="D12" s="1304">
        <v>2021</v>
      </c>
      <c r="E12" s="1304"/>
      <c r="F12" s="1286" t="s">
        <v>184</v>
      </c>
      <c r="G12" s="1287"/>
      <c r="H12" s="1286" t="s">
        <v>185</v>
      </c>
      <c r="I12" s="1287"/>
      <c r="J12" s="1288" t="s">
        <v>64</v>
      </c>
      <c r="K12" s="1289"/>
      <c r="L12" s="1304">
        <v>2023</v>
      </c>
      <c r="M12" s="1304"/>
      <c r="N12" s="1294"/>
      <c r="O12" s="1295"/>
    </row>
    <row r="13" spans="1:20">
      <c r="A13" s="192"/>
      <c r="B13" s="193"/>
      <c r="C13" s="4"/>
      <c r="D13" s="1305" t="s">
        <v>10</v>
      </c>
      <c r="E13" s="1305"/>
      <c r="F13" s="1306" t="s">
        <v>10</v>
      </c>
      <c r="G13" s="1307"/>
      <c r="H13" s="1306" t="s">
        <v>9</v>
      </c>
      <c r="I13" s="1307"/>
      <c r="J13" s="1290"/>
      <c r="K13" s="1291"/>
      <c r="L13" s="1305" t="s">
        <v>27</v>
      </c>
      <c r="M13" s="1305"/>
      <c r="N13" s="1296"/>
      <c r="O13" s="1297"/>
    </row>
    <row r="14" spans="1:20">
      <c r="A14" s="194" t="s">
        <v>281</v>
      </c>
      <c r="B14" s="195"/>
      <c r="C14" s="196"/>
      <c r="D14" s="100"/>
      <c r="E14" s="197"/>
      <c r="F14" s="100"/>
      <c r="G14" s="197"/>
      <c r="H14" s="100"/>
      <c r="I14" s="197"/>
      <c r="J14" s="100"/>
      <c r="K14" s="197"/>
      <c r="L14" s="100"/>
      <c r="M14" s="197"/>
      <c r="N14" s="100"/>
      <c r="O14" s="1048"/>
    </row>
    <row r="15" spans="1:20">
      <c r="A15" s="198" t="s">
        <v>262</v>
      </c>
      <c r="B15" s="195"/>
      <c r="C15" s="196"/>
      <c r="D15" s="100"/>
      <c r="E15" s="197"/>
      <c r="F15" s="100"/>
      <c r="G15" s="197"/>
      <c r="H15" s="100"/>
      <c r="I15" s="197"/>
      <c r="J15" s="100"/>
      <c r="K15" s="197"/>
      <c r="L15" s="100"/>
      <c r="M15" s="197"/>
      <c r="N15" s="100"/>
      <c r="O15" s="1048"/>
    </row>
    <row r="16" spans="1:20">
      <c r="A16" s="198" t="s">
        <v>263</v>
      </c>
      <c r="B16" s="195"/>
      <c r="C16" s="102" t="s">
        <v>114</v>
      </c>
      <c r="D16" s="100" t="s">
        <v>15</v>
      </c>
      <c r="E16" s="197">
        <v>2731919.44</v>
      </c>
      <c r="F16" s="100" t="s">
        <v>15</v>
      </c>
      <c r="G16" s="197">
        <v>1450962</v>
      </c>
      <c r="H16" s="100" t="s">
        <v>15</v>
      </c>
      <c r="I16" s="197">
        <f>K16-G16</f>
        <v>1659906</v>
      </c>
      <c r="J16" s="100" t="s">
        <v>15</v>
      </c>
      <c r="K16" s="197">
        <v>3110868</v>
      </c>
      <c r="L16" s="100" t="s">
        <v>15</v>
      </c>
      <c r="M16" s="197">
        <v>3901248</v>
      </c>
      <c r="N16" s="104" t="s">
        <v>15</v>
      </c>
      <c r="O16" s="1049">
        <v>0</v>
      </c>
      <c r="P16" s="1045"/>
    </row>
    <row r="17" spans="1:16">
      <c r="A17" s="198" t="s">
        <v>264</v>
      </c>
      <c r="B17" s="195"/>
      <c r="C17" s="102" t="s">
        <v>115</v>
      </c>
      <c r="D17" s="100"/>
      <c r="E17" s="197">
        <v>613202.97</v>
      </c>
      <c r="F17" s="100"/>
      <c r="G17" s="197">
        <v>441129.86</v>
      </c>
      <c r="H17" s="100"/>
      <c r="I17" s="197">
        <f t="shared" ref="I17:I31" si="0">K17-G17</f>
        <v>529682.14</v>
      </c>
      <c r="J17" s="100"/>
      <c r="K17" s="197">
        <v>970812</v>
      </c>
      <c r="L17" s="100"/>
      <c r="M17" s="197">
        <v>970764</v>
      </c>
      <c r="N17" s="748"/>
      <c r="O17" s="1050">
        <v>0</v>
      </c>
      <c r="P17" s="1045"/>
    </row>
    <row r="18" spans="1:16">
      <c r="A18" s="198" t="s">
        <v>265</v>
      </c>
      <c r="B18" s="195"/>
      <c r="C18" s="102"/>
      <c r="D18" s="100"/>
      <c r="E18" s="197"/>
      <c r="F18" s="100"/>
      <c r="G18" s="197"/>
      <c r="H18" s="100"/>
      <c r="I18" s="197"/>
      <c r="J18" s="100"/>
      <c r="K18" s="197"/>
      <c r="L18" s="100"/>
      <c r="M18" s="197"/>
      <c r="N18" s="748"/>
      <c r="O18" s="1050"/>
      <c r="P18" s="1045"/>
    </row>
    <row r="19" spans="1:16">
      <c r="A19" s="198" t="s">
        <v>266</v>
      </c>
      <c r="B19" s="195"/>
      <c r="C19" s="102" t="s">
        <v>116</v>
      </c>
      <c r="D19" s="100"/>
      <c r="E19" s="197">
        <v>274636.82</v>
      </c>
      <c r="F19" s="100"/>
      <c r="G19" s="197">
        <v>150860.97</v>
      </c>
      <c r="H19" s="100"/>
      <c r="I19" s="197">
        <f t="shared" si="0"/>
        <v>185139.03</v>
      </c>
      <c r="J19" s="100"/>
      <c r="K19" s="197">
        <v>336000</v>
      </c>
      <c r="L19" s="100"/>
      <c r="M19" s="197">
        <v>384000</v>
      </c>
      <c r="N19" s="748"/>
      <c r="O19" s="1050">
        <v>0</v>
      </c>
      <c r="P19" s="1045"/>
    </row>
    <row r="20" spans="1:16">
      <c r="A20" s="198" t="s">
        <v>267</v>
      </c>
      <c r="B20" s="195"/>
      <c r="C20" s="102" t="s">
        <v>117</v>
      </c>
      <c r="D20" s="100"/>
      <c r="E20" s="197">
        <v>81000</v>
      </c>
      <c r="F20" s="100"/>
      <c r="G20" s="197">
        <v>40500</v>
      </c>
      <c r="H20" s="100"/>
      <c r="I20" s="197">
        <f t="shared" si="0"/>
        <v>40500</v>
      </c>
      <c r="J20" s="100"/>
      <c r="K20" s="197">
        <v>81000</v>
      </c>
      <c r="L20" s="100"/>
      <c r="M20" s="197">
        <v>81000</v>
      </c>
      <c r="N20" s="748"/>
      <c r="O20" s="1050">
        <v>0</v>
      </c>
      <c r="P20" s="1045"/>
    </row>
    <row r="21" spans="1:16">
      <c r="A21" s="198" t="s">
        <v>268</v>
      </c>
      <c r="B21" s="201"/>
      <c r="C21" s="102" t="s">
        <v>118</v>
      </c>
      <c r="D21" s="100"/>
      <c r="E21" s="197">
        <v>81000</v>
      </c>
      <c r="F21" s="100"/>
      <c r="G21" s="197">
        <v>40500</v>
      </c>
      <c r="H21" s="100"/>
      <c r="I21" s="197">
        <f t="shared" si="0"/>
        <v>40500</v>
      </c>
      <c r="J21" s="100"/>
      <c r="K21" s="197">
        <v>81000</v>
      </c>
      <c r="L21" s="100"/>
      <c r="M21" s="197">
        <v>81000</v>
      </c>
      <c r="N21" s="748"/>
      <c r="O21" s="1050">
        <v>0</v>
      </c>
      <c r="P21" s="1045"/>
    </row>
    <row r="22" spans="1:16">
      <c r="A22" s="198" t="s">
        <v>269</v>
      </c>
      <c r="B22" s="201"/>
      <c r="C22" s="102" t="s">
        <v>119</v>
      </c>
      <c r="D22" s="100"/>
      <c r="E22" s="197">
        <v>72000</v>
      </c>
      <c r="F22" s="100"/>
      <c r="G22" s="197">
        <v>78000</v>
      </c>
      <c r="H22" s="100"/>
      <c r="I22" s="197">
        <f t="shared" si="0"/>
        <v>6000</v>
      </c>
      <c r="J22" s="100"/>
      <c r="K22" s="197">
        <v>84000</v>
      </c>
      <c r="L22" s="100"/>
      <c r="M22" s="197">
        <v>96000</v>
      </c>
      <c r="N22" s="748"/>
      <c r="O22" s="1050">
        <v>0</v>
      </c>
      <c r="P22" s="1045"/>
    </row>
    <row r="23" spans="1:16">
      <c r="A23" s="198" t="s">
        <v>270</v>
      </c>
      <c r="B23" s="201"/>
      <c r="C23" s="102" t="s">
        <v>120</v>
      </c>
      <c r="D23" s="100"/>
      <c r="E23" s="197">
        <v>60000</v>
      </c>
      <c r="F23" s="100"/>
      <c r="G23" s="197">
        <v>0</v>
      </c>
      <c r="H23" s="100"/>
      <c r="I23" s="197">
        <f t="shared" si="0"/>
        <v>70000</v>
      </c>
      <c r="J23" s="100"/>
      <c r="K23" s="197">
        <v>70000</v>
      </c>
      <c r="L23" s="100"/>
      <c r="M23" s="197">
        <v>80000</v>
      </c>
      <c r="N23" s="748"/>
      <c r="O23" s="1050">
        <v>0</v>
      </c>
      <c r="P23" s="1045"/>
    </row>
    <row r="24" spans="1:16">
      <c r="A24" s="198" t="s">
        <v>271</v>
      </c>
      <c r="B24" s="195"/>
      <c r="C24" s="102" t="s">
        <v>121</v>
      </c>
      <c r="D24" s="100"/>
      <c r="E24" s="197">
        <v>295083.78000000003</v>
      </c>
      <c r="F24" s="100"/>
      <c r="G24" s="197">
        <v>0</v>
      </c>
      <c r="H24" s="100"/>
      <c r="I24" s="197">
        <f t="shared" si="0"/>
        <v>340140</v>
      </c>
      <c r="J24" s="100"/>
      <c r="K24" s="197">
        <v>340140</v>
      </c>
      <c r="L24" s="100"/>
      <c r="M24" s="197">
        <v>406001</v>
      </c>
      <c r="N24" s="748"/>
      <c r="O24" s="1050">
        <v>0</v>
      </c>
      <c r="P24" s="1045"/>
    </row>
    <row r="25" spans="1:16">
      <c r="A25" s="198" t="s">
        <v>278</v>
      </c>
      <c r="B25" s="202"/>
      <c r="C25" s="102" t="s">
        <v>258</v>
      </c>
      <c r="D25" s="100"/>
      <c r="E25" s="197"/>
      <c r="F25" s="100"/>
      <c r="G25" s="197"/>
      <c r="H25" s="100"/>
      <c r="I25" s="197"/>
      <c r="J25" s="100"/>
      <c r="K25" s="197"/>
      <c r="L25" s="100"/>
      <c r="M25" s="197"/>
      <c r="N25" s="748"/>
      <c r="O25" s="1050"/>
      <c r="P25" s="1045"/>
    </row>
    <row r="26" spans="1:16">
      <c r="A26" s="198" t="s">
        <v>279</v>
      </c>
      <c r="B26" s="202"/>
      <c r="C26" s="102"/>
      <c r="D26" s="100"/>
      <c r="E26" s="197">
        <v>252870.72</v>
      </c>
      <c r="F26" s="100"/>
      <c r="G26" s="197">
        <v>322723.86</v>
      </c>
      <c r="H26" s="100"/>
      <c r="I26" s="197">
        <f t="shared" si="0"/>
        <v>17416.140000000014</v>
      </c>
      <c r="J26" s="100"/>
      <c r="K26" s="197">
        <v>340140</v>
      </c>
      <c r="L26" s="100"/>
      <c r="M26" s="197">
        <v>406001</v>
      </c>
      <c r="N26" s="748"/>
      <c r="O26" s="1050">
        <v>0</v>
      </c>
      <c r="P26" s="1045"/>
    </row>
    <row r="27" spans="1:16">
      <c r="A27" s="198" t="s">
        <v>280</v>
      </c>
      <c r="B27" s="202"/>
      <c r="C27" s="102"/>
      <c r="D27" s="100"/>
      <c r="E27" s="197">
        <v>0</v>
      </c>
      <c r="F27" s="100"/>
      <c r="G27" s="197">
        <v>33000</v>
      </c>
      <c r="H27" s="100"/>
      <c r="I27" s="197">
        <f t="shared" si="0"/>
        <v>9000</v>
      </c>
      <c r="J27" s="100"/>
      <c r="K27" s="197">
        <v>42000</v>
      </c>
      <c r="L27" s="100"/>
      <c r="M27" s="197">
        <v>0</v>
      </c>
      <c r="N27" s="748"/>
      <c r="O27" s="1050">
        <v>0</v>
      </c>
      <c r="P27" s="1045"/>
    </row>
    <row r="28" spans="1:16">
      <c r="A28" s="198" t="s">
        <v>272</v>
      </c>
      <c r="B28" s="195"/>
      <c r="C28" s="102" t="s">
        <v>122</v>
      </c>
      <c r="D28" s="100"/>
      <c r="E28" s="197">
        <v>406016.14</v>
      </c>
      <c r="F28" s="100"/>
      <c r="G28" s="197">
        <v>229708.09</v>
      </c>
      <c r="H28" s="100"/>
      <c r="I28" s="197">
        <f t="shared" si="0"/>
        <v>260093.91</v>
      </c>
      <c r="J28" s="100"/>
      <c r="K28" s="197">
        <v>489802</v>
      </c>
      <c r="L28" s="100"/>
      <c r="M28" s="197">
        <v>584642</v>
      </c>
      <c r="N28" s="748"/>
      <c r="O28" s="1050">
        <v>0</v>
      </c>
      <c r="P28" s="1045"/>
    </row>
    <row r="29" spans="1:16">
      <c r="A29" s="198" t="s">
        <v>273</v>
      </c>
      <c r="B29" s="195"/>
      <c r="C29" s="102" t="s">
        <v>123</v>
      </c>
      <c r="D29" s="100"/>
      <c r="E29" s="197">
        <v>67364.02</v>
      </c>
      <c r="F29" s="100"/>
      <c r="G29" s="197">
        <v>12091.3</v>
      </c>
      <c r="H29" s="100"/>
      <c r="I29" s="197">
        <f t="shared" si="0"/>
        <v>69616.7</v>
      </c>
      <c r="J29" s="100"/>
      <c r="K29" s="197">
        <v>81708</v>
      </c>
      <c r="L29" s="100"/>
      <c r="M29" s="197">
        <v>19200</v>
      </c>
      <c r="N29" s="748"/>
      <c r="O29" s="1050">
        <v>0</v>
      </c>
      <c r="P29" s="1045"/>
    </row>
    <row r="30" spans="1:16">
      <c r="A30" s="198" t="s">
        <v>274</v>
      </c>
      <c r="B30" s="195"/>
      <c r="C30" s="102" t="s">
        <v>124</v>
      </c>
      <c r="D30" s="100"/>
      <c r="E30" s="197">
        <v>47270.98</v>
      </c>
      <c r="F30" s="100"/>
      <c r="G30" s="197">
        <v>28566.35</v>
      </c>
      <c r="H30" s="100"/>
      <c r="I30" s="197">
        <f t="shared" si="0"/>
        <v>53141.65</v>
      </c>
      <c r="J30" s="100"/>
      <c r="K30" s="197">
        <v>81708</v>
      </c>
      <c r="L30" s="100"/>
      <c r="M30" s="197">
        <v>109704</v>
      </c>
      <c r="N30" s="748"/>
      <c r="O30" s="1050">
        <v>0</v>
      </c>
      <c r="P30" s="1045"/>
    </row>
    <row r="31" spans="1:16">
      <c r="A31" s="198" t="s">
        <v>275</v>
      </c>
      <c r="B31" s="195"/>
      <c r="C31" s="102" t="s">
        <v>125</v>
      </c>
      <c r="D31" s="100"/>
      <c r="E31" s="197">
        <v>13900</v>
      </c>
      <c r="F31" s="100"/>
      <c r="G31" s="197">
        <v>7800</v>
      </c>
      <c r="H31" s="100"/>
      <c r="I31" s="197">
        <f t="shared" si="0"/>
        <v>9000</v>
      </c>
      <c r="J31" s="100"/>
      <c r="K31" s="197">
        <v>16800</v>
      </c>
      <c r="L31" s="100"/>
      <c r="M31" s="197">
        <v>19200</v>
      </c>
      <c r="N31" s="748"/>
      <c r="O31" s="1050">
        <v>0</v>
      </c>
      <c r="P31" s="1045"/>
    </row>
    <row r="32" spans="1:16">
      <c r="A32" s="198" t="s">
        <v>276</v>
      </c>
      <c r="B32" s="202"/>
      <c r="C32" s="102" t="s">
        <v>161</v>
      </c>
      <c r="D32" s="100"/>
      <c r="E32" s="197"/>
      <c r="F32" s="100"/>
      <c r="G32" s="197"/>
      <c r="H32" s="100"/>
      <c r="I32" s="197"/>
      <c r="J32" s="100"/>
      <c r="K32" s="197"/>
      <c r="L32" s="100"/>
      <c r="M32" s="197"/>
      <c r="N32" s="748"/>
      <c r="O32" s="1050"/>
      <c r="P32" s="1045"/>
    </row>
    <row r="33" spans="1:20">
      <c r="A33" s="198" t="s">
        <v>292</v>
      </c>
      <c r="B33" s="202"/>
      <c r="C33" s="102"/>
      <c r="D33" s="100"/>
      <c r="E33" s="197">
        <v>0</v>
      </c>
      <c r="F33" s="100"/>
      <c r="G33" s="197">
        <v>0</v>
      </c>
      <c r="H33" s="100"/>
      <c r="I33" s="197">
        <f>K33-G33</f>
        <v>0</v>
      </c>
      <c r="J33" s="100"/>
      <c r="K33" s="197">
        <v>0</v>
      </c>
      <c r="L33" s="100"/>
      <c r="M33" s="197">
        <v>236042</v>
      </c>
      <c r="N33" s="748"/>
      <c r="O33" s="1050">
        <v>0</v>
      </c>
    </row>
    <row r="34" spans="1:20">
      <c r="A34" s="198" t="s">
        <v>261</v>
      </c>
      <c r="B34" s="202"/>
      <c r="C34" s="102"/>
      <c r="D34" s="100"/>
      <c r="E34" s="197">
        <v>60000</v>
      </c>
      <c r="F34" s="100"/>
      <c r="G34" s="197">
        <v>0</v>
      </c>
      <c r="H34" s="100"/>
      <c r="I34" s="197">
        <f>K34-G34</f>
        <v>70000</v>
      </c>
      <c r="J34" s="100"/>
      <c r="K34" s="197">
        <v>70000</v>
      </c>
      <c r="L34" s="100"/>
      <c r="M34" s="197">
        <v>80000</v>
      </c>
      <c r="N34" s="748"/>
      <c r="O34" s="1050">
        <v>0</v>
      </c>
      <c r="P34" s="1045"/>
    </row>
    <row r="35" spans="1:20">
      <c r="A35" s="198" t="s">
        <v>764</v>
      </c>
      <c r="B35" s="202"/>
      <c r="C35" s="102"/>
      <c r="D35" s="100"/>
      <c r="E35" s="197">
        <v>0</v>
      </c>
      <c r="F35" s="100"/>
      <c r="G35" s="197">
        <v>0</v>
      </c>
      <c r="H35" s="100"/>
      <c r="I35" s="197">
        <f>K35-G35</f>
        <v>180315</v>
      </c>
      <c r="J35" s="100"/>
      <c r="K35" s="197">
        <v>180315</v>
      </c>
      <c r="L35" s="100"/>
      <c r="M35" s="197">
        <v>0</v>
      </c>
      <c r="N35" s="748"/>
      <c r="O35" s="1050">
        <v>0</v>
      </c>
      <c r="P35" s="1045"/>
    </row>
    <row r="36" spans="1:20">
      <c r="A36" s="198" t="s">
        <v>259</v>
      </c>
      <c r="B36" s="202"/>
      <c r="C36" s="102"/>
      <c r="D36" s="100"/>
      <c r="E36" s="197">
        <v>15000</v>
      </c>
      <c r="F36" s="100"/>
      <c r="G36" s="197">
        <v>5000</v>
      </c>
      <c r="H36" s="100"/>
      <c r="I36" s="197">
        <f>K36-G36</f>
        <v>5000</v>
      </c>
      <c r="J36" s="100"/>
      <c r="K36" s="199">
        <v>10000</v>
      </c>
      <c r="L36" s="104"/>
      <c r="M36" s="199">
        <v>0</v>
      </c>
      <c r="N36" s="748"/>
      <c r="O36" s="1050">
        <v>0</v>
      </c>
      <c r="P36" s="1045"/>
    </row>
    <row r="37" spans="1:20">
      <c r="A37" s="1325" t="s">
        <v>14</v>
      </c>
      <c r="B37" s="1326"/>
      <c r="C37" s="102"/>
      <c r="D37" s="144" t="s">
        <v>15</v>
      </c>
      <c r="E37" s="205">
        <f>SUM(E16:E36)</f>
        <v>5071264.8699999992</v>
      </c>
      <c r="F37" s="144" t="s">
        <v>15</v>
      </c>
      <c r="G37" s="205">
        <f>SUM(G16:G36)</f>
        <v>2840842.4299999997</v>
      </c>
      <c r="H37" s="144" t="s">
        <v>15</v>
      </c>
      <c r="I37" s="205">
        <f>SUM(I16:I36)</f>
        <v>3545450.5700000003</v>
      </c>
      <c r="J37" s="144" t="s">
        <v>15</v>
      </c>
      <c r="K37" s="205">
        <f>SUM(K16:K36)</f>
        <v>6386293</v>
      </c>
      <c r="L37" s="144" t="s">
        <v>15</v>
      </c>
      <c r="M37" s="205">
        <f>SUM(M16:M36)</f>
        <v>7454802</v>
      </c>
      <c r="N37" s="144" t="s">
        <v>15</v>
      </c>
      <c r="O37" s="1051">
        <f>SUM(O16:O36)</f>
        <v>0</v>
      </c>
      <c r="P37" s="1045"/>
    </row>
    <row r="38" spans="1:20">
      <c r="A38" s="194" t="s">
        <v>282</v>
      </c>
      <c r="B38" s="195"/>
      <c r="C38" s="102"/>
      <c r="D38" s="116"/>
      <c r="E38" s="204"/>
      <c r="F38" s="116"/>
      <c r="G38" s="204"/>
      <c r="H38" s="116"/>
      <c r="I38" s="204"/>
      <c r="J38" s="116"/>
      <c r="K38" s="204"/>
      <c r="L38" s="116"/>
      <c r="M38" s="204"/>
      <c r="N38" s="116"/>
      <c r="O38" s="1052"/>
    </row>
    <row r="39" spans="1:20">
      <c r="A39" s="198" t="s">
        <v>41</v>
      </c>
      <c r="B39" s="195"/>
      <c r="C39" s="102" t="s">
        <v>126</v>
      </c>
      <c r="D39" s="100" t="s">
        <v>15</v>
      </c>
      <c r="E39" s="197">
        <v>121423</v>
      </c>
      <c r="F39" s="100" t="s">
        <v>15</v>
      </c>
      <c r="G39" s="197">
        <v>231106.3</v>
      </c>
      <c r="H39" s="100" t="s">
        <v>15</v>
      </c>
      <c r="I39" s="197">
        <f t="shared" ref="I39:I52" si="1">K39-G39</f>
        <v>552393.69999999995</v>
      </c>
      <c r="J39" s="100" t="s">
        <v>15</v>
      </c>
      <c r="K39" s="197">
        <v>783500</v>
      </c>
      <c r="L39" s="100" t="s">
        <v>15</v>
      </c>
      <c r="M39" s="197">
        <v>615300</v>
      </c>
      <c r="N39" s="104" t="s">
        <v>15</v>
      </c>
      <c r="O39" s="1049">
        <f>M39-K39</f>
        <v>-168200</v>
      </c>
      <c r="P39" s="1045">
        <f>K39*0.1</f>
        <v>78350</v>
      </c>
      <c r="Q39" s="1045">
        <f>P39+K39</f>
        <v>861850</v>
      </c>
    </row>
    <row r="40" spans="1:20">
      <c r="A40" s="198" t="s">
        <v>42</v>
      </c>
      <c r="B40" s="195"/>
      <c r="C40" s="102" t="s">
        <v>127</v>
      </c>
      <c r="D40" s="100"/>
      <c r="E40" s="197">
        <v>78300</v>
      </c>
      <c r="F40" s="100"/>
      <c r="G40" s="197">
        <v>105325</v>
      </c>
      <c r="H40" s="100"/>
      <c r="I40" s="197">
        <f>K40-G40</f>
        <v>194675</v>
      </c>
      <c r="J40" s="100"/>
      <c r="K40" s="197">
        <v>300000</v>
      </c>
      <c r="L40" s="100"/>
      <c r="M40" s="197">
        <v>235583</v>
      </c>
      <c r="N40" s="748"/>
      <c r="O40" s="1049">
        <f t="shared" ref="O40:O52" si="2">M40-K40</f>
        <v>-64417</v>
      </c>
      <c r="P40" s="1045">
        <f t="shared" ref="P40:P52" si="3">K40*0.1</f>
        <v>30000</v>
      </c>
      <c r="Q40" s="1045">
        <f t="shared" ref="Q40:Q52" si="4">P40+K40</f>
        <v>330000</v>
      </c>
    </row>
    <row r="41" spans="1:20">
      <c r="A41" s="198" t="s">
        <v>28</v>
      </c>
      <c r="B41" s="195"/>
      <c r="C41" s="102" t="s">
        <v>128</v>
      </c>
      <c r="D41" s="100"/>
      <c r="E41" s="197">
        <v>159842.4</v>
      </c>
      <c r="F41" s="100"/>
      <c r="G41" s="197">
        <v>0</v>
      </c>
      <c r="H41" s="100"/>
      <c r="I41" s="197">
        <f>K41-G41</f>
        <v>425000</v>
      </c>
      <c r="J41" s="100"/>
      <c r="K41" s="197">
        <v>425000</v>
      </c>
      <c r="L41" s="100"/>
      <c r="M41" s="197">
        <v>333742</v>
      </c>
      <c r="N41" s="748"/>
      <c r="O41" s="1049">
        <f t="shared" si="2"/>
        <v>-91258</v>
      </c>
      <c r="P41" s="1045">
        <f t="shared" si="3"/>
        <v>42500</v>
      </c>
      <c r="Q41" s="1045">
        <f t="shared" si="4"/>
        <v>467500</v>
      </c>
    </row>
    <row r="42" spans="1:20">
      <c r="A42" s="198" t="s">
        <v>130</v>
      </c>
      <c r="B42" s="195"/>
      <c r="C42" s="118" t="s">
        <v>129</v>
      </c>
      <c r="D42" s="100"/>
      <c r="E42" s="197">
        <v>130501.44</v>
      </c>
      <c r="F42" s="100"/>
      <c r="G42" s="197">
        <v>79473.58</v>
      </c>
      <c r="H42" s="100"/>
      <c r="I42" s="197">
        <f t="shared" si="1"/>
        <v>438526.42</v>
      </c>
      <c r="J42" s="100"/>
      <c r="K42" s="197">
        <v>518000</v>
      </c>
      <c r="L42" s="100"/>
      <c r="M42" s="197">
        <v>406836</v>
      </c>
      <c r="N42" s="748"/>
      <c r="O42" s="1049">
        <f t="shared" si="2"/>
        <v>-111164</v>
      </c>
      <c r="P42" s="1045">
        <f t="shared" si="3"/>
        <v>51800</v>
      </c>
      <c r="Q42" s="1045">
        <f t="shared" si="4"/>
        <v>569800</v>
      </c>
    </row>
    <row r="43" spans="1:20" s="86" customFormat="1" ht="12" customHeight="1">
      <c r="A43" s="101" t="s">
        <v>497</v>
      </c>
      <c r="B43" s="98"/>
      <c r="C43" s="102" t="s">
        <v>174</v>
      </c>
      <c r="D43" s="111"/>
      <c r="E43" s="197">
        <v>120262.98</v>
      </c>
      <c r="F43" s="111"/>
      <c r="G43" s="197">
        <v>44535.199999999997</v>
      </c>
      <c r="H43" s="111"/>
      <c r="I43" s="197">
        <f t="shared" si="1"/>
        <v>160464.79999999999</v>
      </c>
      <c r="J43" s="111"/>
      <c r="K43" s="197">
        <v>205000</v>
      </c>
      <c r="L43" s="100"/>
      <c r="M43" s="197">
        <v>161011</v>
      </c>
      <c r="N43" s="748"/>
      <c r="O43" s="1049">
        <f t="shared" si="2"/>
        <v>-43989</v>
      </c>
      <c r="P43" s="963"/>
      <c r="Q43" s="963">
        <f>O43*0.1</f>
        <v>-4398.9000000000005</v>
      </c>
      <c r="R43" s="961"/>
      <c r="S43" s="961"/>
      <c r="T43" s="961"/>
    </row>
    <row r="44" spans="1:20">
      <c r="A44" s="198" t="s">
        <v>163</v>
      </c>
      <c r="B44" s="195"/>
      <c r="C44" s="118" t="s">
        <v>133</v>
      </c>
      <c r="D44" s="100"/>
      <c r="E44" s="197">
        <v>21532.91</v>
      </c>
      <c r="F44" s="100"/>
      <c r="G44" s="197">
        <v>12837.11</v>
      </c>
      <c r="H44" s="100"/>
      <c r="I44" s="197">
        <f t="shared" si="1"/>
        <v>27162.89</v>
      </c>
      <c r="J44" s="100"/>
      <c r="K44" s="197">
        <v>40000</v>
      </c>
      <c r="L44" s="100"/>
      <c r="M44" s="197">
        <v>40000</v>
      </c>
      <c r="N44" s="748"/>
      <c r="O44" s="1049">
        <f t="shared" si="2"/>
        <v>0</v>
      </c>
      <c r="P44" s="1045">
        <f t="shared" si="3"/>
        <v>4000</v>
      </c>
      <c r="Q44" s="1045">
        <f t="shared" si="4"/>
        <v>44000</v>
      </c>
    </row>
    <row r="45" spans="1:20">
      <c r="A45" s="198" t="s">
        <v>135</v>
      </c>
      <c r="B45" s="195"/>
      <c r="C45" s="118" t="s">
        <v>134</v>
      </c>
      <c r="D45" s="100"/>
      <c r="E45" s="197">
        <v>35070.18</v>
      </c>
      <c r="F45" s="100"/>
      <c r="G45" s="197">
        <v>108260.52</v>
      </c>
      <c r="H45" s="100"/>
      <c r="I45" s="197">
        <f t="shared" si="1"/>
        <v>119739.48</v>
      </c>
      <c r="J45" s="100"/>
      <c r="K45" s="197">
        <v>228000</v>
      </c>
      <c r="L45" s="100"/>
      <c r="M45" s="197">
        <v>228000</v>
      </c>
      <c r="N45" s="748"/>
      <c r="O45" s="1049">
        <f t="shared" si="2"/>
        <v>0</v>
      </c>
      <c r="P45" s="1045">
        <f t="shared" si="3"/>
        <v>22800</v>
      </c>
      <c r="Q45" s="1045">
        <f t="shared" si="4"/>
        <v>250800</v>
      </c>
    </row>
    <row r="46" spans="1:20" s="86" customFormat="1" ht="12" customHeight="1">
      <c r="A46" s="101" t="s">
        <v>138</v>
      </c>
      <c r="B46" s="98"/>
      <c r="C46" s="102" t="s">
        <v>137</v>
      </c>
      <c r="D46" s="100"/>
      <c r="E46" s="197">
        <v>2548</v>
      </c>
      <c r="F46" s="111"/>
      <c r="G46" s="197">
        <v>0</v>
      </c>
      <c r="H46" s="111"/>
      <c r="I46" s="197">
        <f t="shared" si="1"/>
        <v>10000</v>
      </c>
      <c r="J46" s="111"/>
      <c r="K46" s="197">
        <v>10000</v>
      </c>
      <c r="L46" s="100"/>
      <c r="M46" s="197">
        <v>10000</v>
      </c>
      <c r="N46" s="748"/>
      <c r="O46" s="1049">
        <f t="shared" si="2"/>
        <v>0</v>
      </c>
      <c r="P46" s="963"/>
      <c r="Q46" s="963">
        <f>O46*0.1</f>
        <v>0</v>
      </c>
      <c r="R46" s="961"/>
      <c r="S46" s="961"/>
      <c r="T46" s="961"/>
    </row>
    <row r="47" spans="1:20">
      <c r="A47" s="198" t="s">
        <v>37</v>
      </c>
      <c r="B47" s="195"/>
      <c r="C47" s="118" t="s">
        <v>139</v>
      </c>
      <c r="D47" s="100"/>
      <c r="E47" s="197">
        <v>300</v>
      </c>
      <c r="F47" s="100"/>
      <c r="G47" s="197">
        <v>0</v>
      </c>
      <c r="H47" s="100"/>
      <c r="I47" s="197">
        <f t="shared" si="1"/>
        <v>14000</v>
      </c>
      <c r="J47" s="100"/>
      <c r="K47" s="197">
        <v>14000</v>
      </c>
      <c r="L47" s="100"/>
      <c r="M47" s="197">
        <v>14000</v>
      </c>
      <c r="N47" s="748"/>
      <c r="O47" s="1049">
        <f t="shared" si="2"/>
        <v>0</v>
      </c>
      <c r="P47" s="1045">
        <f t="shared" si="3"/>
        <v>1400</v>
      </c>
      <c r="Q47" s="1045">
        <f t="shared" si="4"/>
        <v>15400</v>
      </c>
    </row>
    <row r="48" spans="1:20">
      <c r="A48" s="198" t="s">
        <v>142</v>
      </c>
      <c r="B48" s="195"/>
      <c r="C48" s="118" t="s">
        <v>141</v>
      </c>
      <c r="D48" s="100"/>
      <c r="E48" s="197">
        <v>40750</v>
      </c>
      <c r="F48" s="100"/>
      <c r="G48" s="197">
        <v>0</v>
      </c>
      <c r="H48" s="100"/>
      <c r="I48" s="197">
        <f t="shared" si="1"/>
        <v>260000</v>
      </c>
      <c r="J48" s="100"/>
      <c r="K48" s="197">
        <v>260000</v>
      </c>
      <c r="L48" s="100"/>
      <c r="M48" s="197">
        <v>204157</v>
      </c>
      <c r="N48" s="748"/>
      <c r="O48" s="1049">
        <f t="shared" si="2"/>
        <v>-55843</v>
      </c>
      <c r="P48" s="1045">
        <f t="shared" si="3"/>
        <v>26000</v>
      </c>
      <c r="Q48" s="1045">
        <f t="shared" si="4"/>
        <v>286000</v>
      </c>
      <c r="R48" s="987" t="s">
        <v>492</v>
      </c>
    </row>
    <row r="49" spans="1:20">
      <c r="A49" s="198" t="s">
        <v>145</v>
      </c>
      <c r="B49" s="195"/>
      <c r="C49" s="102" t="s">
        <v>144</v>
      </c>
      <c r="D49" s="100"/>
      <c r="E49" s="197">
        <v>73200</v>
      </c>
      <c r="F49" s="100"/>
      <c r="G49" s="197">
        <v>27833</v>
      </c>
      <c r="H49" s="100"/>
      <c r="I49" s="197">
        <f t="shared" si="1"/>
        <v>232167</v>
      </c>
      <c r="J49" s="100"/>
      <c r="K49" s="197">
        <v>260000</v>
      </c>
      <c r="L49" s="100"/>
      <c r="M49" s="197">
        <v>204157</v>
      </c>
      <c r="N49" s="748"/>
      <c r="O49" s="1049">
        <f t="shared" si="2"/>
        <v>-55843</v>
      </c>
      <c r="P49" s="1045">
        <f t="shared" si="3"/>
        <v>26000</v>
      </c>
      <c r="Q49" s="1045">
        <f t="shared" si="4"/>
        <v>286000</v>
      </c>
    </row>
    <row r="50" spans="1:20">
      <c r="A50" s="198" t="s">
        <v>749</v>
      </c>
      <c r="B50" s="195"/>
      <c r="C50" s="102" t="s">
        <v>557</v>
      </c>
      <c r="D50" s="100"/>
      <c r="E50" s="197">
        <v>45315.199999999997</v>
      </c>
      <c r="F50" s="100"/>
      <c r="G50" s="197">
        <v>0</v>
      </c>
      <c r="H50" s="100"/>
      <c r="I50" s="197">
        <f t="shared" si="1"/>
        <v>100000</v>
      </c>
      <c r="J50" s="100"/>
      <c r="K50" s="197">
        <v>100000</v>
      </c>
      <c r="L50" s="100"/>
      <c r="M50" s="197">
        <v>100000</v>
      </c>
      <c r="N50" s="748"/>
      <c r="O50" s="1049">
        <f t="shared" si="2"/>
        <v>0</v>
      </c>
      <c r="P50" s="1045">
        <f t="shared" si="3"/>
        <v>10000</v>
      </c>
      <c r="Q50" s="1045">
        <f t="shared" si="4"/>
        <v>110000</v>
      </c>
    </row>
    <row r="51" spans="1:20" ht="12" customHeight="1">
      <c r="A51" s="198" t="s">
        <v>33</v>
      </c>
      <c r="B51" s="119"/>
      <c r="C51" s="102" t="s">
        <v>148</v>
      </c>
      <c r="D51" s="100"/>
      <c r="E51" s="197"/>
      <c r="F51" s="100"/>
      <c r="G51" s="197"/>
      <c r="H51" s="100"/>
      <c r="I51" s="197"/>
      <c r="J51" s="100"/>
      <c r="K51" s="197">
        <v>0</v>
      </c>
      <c r="L51" s="100"/>
      <c r="M51" s="197"/>
      <c r="N51" s="748"/>
      <c r="O51" s="1050">
        <v>0</v>
      </c>
      <c r="P51" s="1045">
        <f t="shared" si="3"/>
        <v>0</v>
      </c>
      <c r="Q51" s="1045">
        <f t="shared" si="4"/>
        <v>0</v>
      </c>
    </row>
    <row r="52" spans="1:20">
      <c r="A52" s="206" t="s">
        <v>513</v>
      </c>
      <c r="B52" s="197"/>
      <c r="C52" s="102"/>
      <c r="D52" s="100"/>
      <c r="E52" s="197">
        <v>1116754.22</v>
      </c>
      <c r="F52" s="100"/>
      <c r="G52" s="197">
        <v>486320.6</v>
      </c>
      <c r="H52" s="100"/>
      <c r="I52" s="197">
        <f t="shared" si="1"/>
        <v>800679.4</v>
      </c>
      <c r="J52" s="100"/>
      <c r="K52" s="197">
        <v>1287000</v>
      </c>
      <c r="L52" s="100"/>
      <c r="M52" s="197">
        <f>30000+1317000</f>
        <v>1347000</v>
      </c>
      <c r="N52" s="748"/>
      <c r="O52" s="1049">
        <f t="shared" si="2"/>
        <v>60000</v>
      </c>
      <c r="P52" s="1045">
        <f t="shared" si="3"/>
        <v>128700</v>
      </c>
      <c r="Q52" s="1045">
        <f t="shared" si="4"/>
        <v>1415700</v>
      </c>
    </row>
    <row r="53" spans="1:20" s="86" customFormat="1" ht="12" customHeight="1">
      <c r="A53" s="136" t="s">
        <v>748</v>
      </c>
      <c r="B53" s="7"/>
      <c r="C53" s="102"/>
      <c r="D53" s="100"/>
      <c r="E53" s="7">
        <v>103851.2</v>
      </c>
      <c r="F53" s="111"/>
      <c r="G53" s="7">
        <v>80719.360000000001</v>
      </c>
      <c r="H53" s="111"/>
      <c r="I53" s="197">
        <f t="shared" ref="I53" si="5">K53-G53</f>
        <v>151280.64000000001</v>
      </c>
      <c r="J53" s="111"/>
      <c r="K53" s="7">
        <v>232000</v>
      </c>
      <c r="L53" s="100"/>
      <c r="M53" s="7">
        <v>182196</v>
      </c>
      <c r="N53" s="748"/>
      <c r="O53" s="1049">
        <f t="shared" ref="O53:O54" si="6">M53-K53</f>
        <v>-49804</v>
      </c>
      <c r="P53" s="963"/>
      <c r="Q53" s="963"/>
      <c r="R53" s="961"/>
      <c r="S53" s="961"/>
      <c r="T53" s="961"/>
    </row>
    <row r="54" spans="1:20" s="86" customFormat="1" ht="12" customHeight="1">
      <c r="A54" s="290" t="s">
        <v>564</v>
      </c>
      <c r="B54" s="7"/>
      <c r="C54" s="102"/>
      <c r="D54" s="100"/>
      <c r="E54" s="197">
        <v>385650</v>
      </c>
      <c r="F54" s="111"/>
      <c r="G54" s="197">
        <v>204500</v>
      </c>
      <c r="H54" s="111"/>
      <c r="I54" s="197">
        <f>K54-G54</f>
        <v>285500</v>
      </c>
      <c r="J54" s="111"/>
      <c r="K54" s="199">
        <v>490000</v>
      </c>
      <c r="L54" s="104"/>
      <c r="M54" s="199">
        <v>384800</v>
      </c>
      <c r="N54" s="748"/>
      <c r="O54" s="1049">
        <f t="shared" si="6"/>
        <v>-105200</v>
      </c>
      <c r="P54" s="963"/>
      <c r="Q54" s="963"/>
      <c r="R54" s="961"/>
      <c r="S54" s="961"/>
      <c r="T54" s="961"/>
    </row>
    <row r="55" spans="1:20">
      <c r="A55" s="1336" t="s">
        <v>13</v>
      </c>
      <c r="B55" s="1337"/>
      <c r="C55" s="113"/>
      <c r="D55" s="109" t="s">
        <v>15</v>
      </c>
      <c r="E55" s="207">
        <f>SUM(E39:E54)</f>
        <v>2435301.5300000003</v>
      </c>
      <c r="F55" s="109" t="s">
        <v>15</v>
      </c>
      <c r="G55" s="207">
        <f>SUM(G39:G54)</f>
        <v>1380910.6700000002</v>
      </c>
      <c r="H55" s="109" t="s">
        <v>15</v>
      </c>
      <c r="I55" s="207">
        <f>SUM(I39:I54)</f>
        <v>3771589.33</v>
      </c>
      <c r="J55" s="109" t="s">
        <v>15</v>
      </c>
      <c r="K55" s="207">
        <f>SUM(K39:K54)</f>
        <v>5152500</v>
      </c>
      <c r="L55" s="109" t="s">
        <v>15</v>
      </c>
      <c r="M55" s="207">
        <f>SUM(M39:M54)</f>
        <v>4466782</v>
      </c>
      <c r="N55" s="109" t="s">
        <v>15</v>
      </c>
      <c r="O55" s="1053">
        <f>SUM(O39:O54)</f>
        <v>-685718</v>
      </c>
      <c r="P55" s="1045">
        <f>O55-K55</f>
        <v>-5838218</v>
      </c>
    </row>
    <row r="56" spans="1:20">
      <c r="A56" s="283"/>
      <c r="B56" s="283"/>
      <c r="C56" s="145"/>
      <c r="D56" s="146"/>
      <c r="E56" s="832"/>
      <c r="F56" s="146"/>
      <c r="G56" s="832"/>
      <c r="H56" s="146"/>
      <c r="I56" s="832"/>
      <c r="J56" s="146"/>
      <c r="K56" s="832"/>
      <c r="L56" s="146"/>
      <c r="M56" s="832"/>
      <c r="N56" s="146"/>
      <c r="O56" s="1054"/>
      <c r="P56" s="1045"/>
    </row>
    <row r="57" spans="1:20">
      <c r="A57" s="857"/>
      <c r="B57" s="857"/>
      <c r="C57" s="856"/>
      <c r="D57" s="149"/>
      <c r="E57" s="862"/>
      <c r="F57" s="149"/>
      <c r="G57" s="862"/>
      <c r="H57" s="149"/>
      <c r="I57" s="862"/>
      <c r="J57" s="149"/>
      <c r="K57" s="862"/>
      <c r="L57" s="149"/>
      <c r="M57" s="862"/>
      <c r="N57" s="149"/>
      <c r="O57" s="1055"/>
      <c r="P57" s="1045"/>
    </row>
    <row r="58" spans="1:20">
      <c r="A58" s="173" t="s">
        <v>283</v>
      </c>
      <c r="B58" s="797"/>
      <c r="C58" s="798"/>
      <c r="D58" s="144"/>
      <c r="E58" s="205"/>
      <c r="F58" s="144"/>
      <c r="G58" s="205"/>
      <c r="H58" s="144"/>
      <c r="I58" s="205"/>
      <c r="J58" s="144"/>
      <c r="K58" s="205"/>
      <c r="L58" s="144"/>
      <c r="M58" s="205"/>
      <c r="N58" s="144"/>
      <c r="O58" s="1051"/>
    </row>
    <row r="59" spans="1:20">
      <c r="A59" s="124" t="s">
        <v>51</v>
      </c>
      <c r="B59" s="829"/>
      <c r="C59" s="102" t="s">
        <v>149</v>
      </c>
      <c r="D59" s="100" t="s">
        <v>15</v>
      </c>
      <c r="E59" s="197"/>
      <c r="F59" s="100" t="s">
        <v>15</v>
      </c>
      <c r="G59" s="197"/>
      <c r="H59" s="100" t="s">
        <v>15</v>
      </c>
      <c r="I59" s="197"/>
      <c r="J59" s="100" t="s">
        <v>15</v>
      </c>
      <c r="K59" s="197"/>
      <c r="L59" s="100" t="s">
        <v>15</v>
      </c>
      <c r="M59" s="197"/>
      <c r="N59" s="104" t="s">
        <v>15</v>
      </c>
      <c r="O59" s="1049"/>
    </row>
    <row r="60" spans="1:20">
      <c r="A60" s="124" t="s">
        <v>1152</v>
      </c>
      <c r="B60" s="877"/>
      <c r="C60" s="102"/>
      <c r="D60" s="100"/>
      <c r="E60" s="197"/>
      <c r="F60" s="100"/>
      <c r="G60" s="197">
        <v>0</v>
      </c>
      <c r="H60" s="100"/>
      <c r="I60" s="197">
        <f>K60-G60</f>
        <v>80000</v>
      </c>
      <c r="J60" s="100"/>
      <c r="K60" s="197">
        <v>80000</v>
      </c>
      <c r="L60" s="100"/>
      <c r="M60" s="197">
        <v>0</v>
      </c>
      <c r="N60" s="748"/>
      <c r="O60" s="1050">
        <v>0</v>
      </c>
    </row>
    <row r="61" spans="1:20">
      <c r="A61" s="124" t="s">
        <v>1324</v>
      </c>
      <c r="B61" s="829"/>
      <c r="C61" s="102"/>
      <c r="D61" s="100"/>
      <c r="E61" s="197">
        <v>15450</v>
      </c>
      <c r="F61" s="100"/>
      <c r="G61" s="197">
        <v>0</v>
      </c>
      <c r="H61" s="100"/>
      <c r="I61" s="197">
        <f>K61-G61</f>
        <v>0</v>
      </c>
      <c r="J61" s="100"/>
      <c r="K61" s="197">
        <v>0</v>
      </c>
      <c r="L61" s="100"/>
      <c r="M61" s="197">
        <v>0</v>
      </c>
      <c r="N61" s="748"/>
      <c r="O61" s="1050">
        <v>0</v>
      </c>
    </row>
    <row r="62" spans="1:20">
      <c r="A62" s="124" t="s">
        <v>152</v>
      </c>
      <c r="B62" s="829"/>
      <c r="C62" s="102" t="s">
        <v>150</v>
      </c>
      <c r="D62" s="100"/>
      <c r="E62" s="197"/>
      <c r="F62" s="100"/>
      <c r="G62" s="197"/>
      <c r="H62" s="100"/>
      <c r="I62" s="197"/>
      <c r="J62" s="100"/>
      <c r="K62" s="197"/>
      <c r="L62" s="100"/>
      <c r="M62" s="197"/>
      <c r="N62" s="748"/>
      <c r="O62" s="1050"/>
    </row>
    <row r="63" spans="1:20">
      <c r="A63" s="124" t="s">
        <v>153</v>
      </c>
      <c r="B63" s="829"/>
      <c r="C63" s="102" t="s">
        <v>151</v>
      </c>
      <c r="D63" s="122"/>
      <c r="E63" s="197"/>
      <c r="F63" s="122"/>
      <c r="G63" s="197"/>
      <c r="H63" s="122"/>
      <c r="I63" s="197"/>
      <c r="J63" s="122"/>
      <c r="K63" s="197"/>
      <c r="L63" s="100"/>
      <c r="M63" s="197"/>
      <c r="N63" s="748"/>
      <c r="O63" s="1050"/>
    </row>
    <row r="64" spans="1:20">
      <c r="A64" s="124" t="s">
        <v>331</v>
      </c>
      <c r="B64" s="829"/>
      <c r="C64" s="102"/>
      <c r="D64" s="122"/>
      <c r="E64" s="197">
        <v>0</v>
      </c>
      <c r="F64" s="122"/>
      <c r="G64" s="197">
        <v>0</v>
      </c>
      <c r="H64" s="122"/>
      <c r="I64" s="197">
        <f t="shared" ref="I64:I66" si="7">K64-G64</f>
        <v>72000</v>
      </c>
      <c r="J64" s="122"/>
      <c r="K64" s="197">
        <v>72000</v>
      </c>
      <c r="L64" s="100"/>
      <c r="M64" s="197">
        <v>0</v>
      </c>
      <c r="N64" s="748"/>
      <c r="O64" s="1050">
        <v>0</v>
      </c>
    </row>
    <row r="65" spans="1:22">
      <c r="A65" s="124" t="s">
        <v>1153</v>
      </c>
      <c r="B65" s="806"/>
      <c r="C65" s="102"/>
      <c r="D65" s="122"/>
      <c r="E65" s="197"/>
      <c r="F65" s="122"/>
      <c r="G65" s="197">
        <v>0</v>
      </c>
      <c r="H65" s="122"/>
      <c r="I65" s="197">
        <f t="shared" ref="I65" si="8">K65-G65</f>
        <v>90000</v>
      </c>
      <c r="J65" s="122"/>
      <c r="K65" s="197">
        <v>90000</v>
      </c>
      <c r="L65" s="100"/>
      <c r="M65" s="197">
        <v>0</v>
      </c>
      <c r="N65" s="748"/>
      <c r="O65" s="1050">
        <v>0</v>
      </c>
    </row>
    <row r="66" spans="1:22">
      <c r="A66" s="124" t="s">
        <v>1154</v>
      </c>
      <c r="B66" s="119"/>
      <c r="C66" s="102"/>
      <c r="D66" s="122"/>
      <c r="E66" s="197"/>
      <c r="F66" s="122"/>
      <c r="G66" s="197">
        <v>0</v>
      </c>
      <c r="H66" s="122"/>
      <c r="I66" s="197">
        <f t="shared" si="7"/>
        <v>70000</v>
      </c>
      <c r="J66" s="122"/>
      <c r="K66" s="197">
        <v>70000</v>
      </c>
      <c r="L66" s="100"/>
      <c r="M66" s="197">
        <v>0</v>
      </c>
      <c r="N66" s="748"/>
      <c r="O66" s="1050">
        <v>0</v>
      </c>
    </row>
    <row r="67" spans="1:22">
      <c r="A67" s="124" t="s">
        <v>488</v>
      </c>
      <c r="B67" s="277"/>
      <c r="C67" s="102"/>
      <c r="D67" s="122"/>
      <c r="E67" s="197"/>
      <c r="F67" s="122"/>
      <c r="G67" s="197">
        <v>0</v>
      </c>
      <c r="H67" s="122"/>
      <c r="I67" s="197">
        <f t="shared" ref="I67" si="9">K67-G67</f>
        <v>50000</v>
      </c>
      <c r="J67" s="122"/>
      <c r="K67" s="197">
        <v>50000</v>
      </c>
      <c r="L67" s="100"/>
      <c r="M67" s="197">
        <v>0</v>
      </c>
      <c r="N67" s="748"/>
      <c r="O67" s="1050">
        <v>0</v>
      </c>
    </row>
    <row r="68" spans="1:22">
      <c r="A68" s="124" t="s">
        <v>1007</v>
      </c>
      <c r="B68" s="829"/>
      <c r="C68" s="102"/>
      <c r="D68" s="100"/>
      <c r="E68" s="197"/>
      <c r="F68" s="100"/>
      <c r="G68" s="197">
        <v>0</v>
      </c>
      <c r="H68" s="100"/>
      <c r="I68" s="197">
        <f>K68-G68</f>
        <v>40000</v>
      </c>
      <c r="J68" s="100"/>
      <c r="K68" s="197">
        <v>40000</v>
      </c>
      <c r="L68" s="100"/>
      <c r="M68" s="197">
        <v>0</v>
      </c>
      <c r="N68" s="748"/>
      <c r="O68" s="1050">
        <v>0</v>
      </c>
    </row>
    <row r="69" spans="1:22">
      <c r="A69" s="124" t="s">
        <v>489</v>
      </c>
      <c r="B69" s="277"/>
      <c r="C69" s="102" t="s">
        <v>335</v>
      </c>
      <c r="D69" s="122"/>
      <c r="E69" s="197"/>
      <c r="F69" s="122"/>
      <c r="G69" s="197"/>
      <c r="H69" s="122"/>
      <c r="I69" s="197"/>
      <c r="J69" s="122"/>
      <c r="K69" s="197"/>
      <c r="L69" s="100"/>
      <c r="M69" s="197"/>
      <c r="N69" s="748"/>
      <c r="O69" s="1050"/>
    </row>
    <row r="70" spans="1:22">
      <c r="A70" s="124" t="s">
        <v>50</v>
      </c>
      <c r="B70" s="119"/>
      <c r="C70" s="102" t="s">
        <v>156</v>
      </c>
      <c r="D70" s="122"/>
      <c r="E70" s="197"/>
      <c r="F70" s="122"/>
      <c r="G70" s="197"/>
      <c r="H70" s="122"/>
      <c r="I70" s="197"/>
      <c r="J70" s="122"/>
      <c r="K70" s="197"/>
      <c r="L70" s="100"/>
      <c r="M70" s="197"/>
      <c r="N70" s="748"/>
      <c r="O70" s="1050"/>
    </row>
    <row r="71" spans="1:22">
      <c r="A71" s="124" t="s">
        <v>1008</v>
      </c>
      <c r="B71" s="335"/>
      <c r="C71" s="102"/>
      <c r="D71" s="122"/>
      <c r="E71" s="197"/>
      <c r="F71" s="122"/>
      <c r="G71" s="197">
        <v>94900</v>
      </c>
      <c r="H71" s="122"/>
      <c r="I71" s="197">
        <f>K71-G71</f>
        <v>25100</v>
      </c>
      <c r="J71" s="122"/>
      <c r="K71" s="199">
        <v>120000</v>
      </c>
      <c r="L71" s="104"/>
      <c r="M71" s="199">
        <v>0</v>
      </c>
      <c r="N71" s="748"/>
      <c r="O71" s="1050">
        <v>0</v>
      </c>
    </row>
    <row r="72" spans="1:22">
      <c r="A72" s="1325" t="s">
        <v>16</v>
      </c>
      <c r="B72" s="1326"/>
      <c r="C72" s="102"/>
      <c r="D72" s="109" t="s">
        <v>15</v>
      </c>
      <c r="E72" s="207">
        <f>SUM(E59:E71)</f>
        <v>15450</v>
      </c>
      <c r="F72" s="109" t="s">
        <v>15</v>
      </c>
      <c r="G72" s="207">
        <f>SUM(G59:G71)</f>
        <v>94900</v>
      </c>
      <c r="H72" s="109" t="s">
        <v>15</v>
      </c>
      <c r="I72" s="207">
        <f>SUM(I59:I71)</f>
        <v>427100</v>
      </c>
      <c r="J72" s="109" t="s">
        <v>15</v>
      </c>
      <c r="K72" s="207">
        <f>SUM(K59:K71)</f>
        <v>522000</v>
      </c>
      <c r="L72" s="109" t="s">
        <v>15</v>
      </c>
      <c r="M72" s="207">
        <f>SUM(M59:M71)</f>
        <v>0</v>
      </c>
      <c r="N72" s="109" t="s">
        <v>15</v>
      </c>
      <c r="O72" s="1053">
        <f>M72-K72</f>
        <v>-522000</v>
      </c>
      <c r="P72" s="1045">
        <f>O72-K72</f>
        <v>-1044000</v>
      </c>
      <c r="Q72" s="1045">
        <f>M74-Q74</f>
        <v>-139209</v>
      </c>
    </row>
    <row r="73" spans="1:22" ht="7.5" customHeight="1">
      <c r="A73" s="198"/>
      <c r="B73" s="195"/>
      <c r="C73" s="102"/>
      <c r="D73" s="100"/>
      <c r="E73" s="197"/>
      <c r="F73" s="100"/>
      <c r="G73" s="197"/>
      <c r="H73" s="100"/>
      <c r="I73" s="197"/>
      <c r="J73" s="100"/>
      <c r="K73" s="197"/>
      <c r="L73" s="100"/>
      <c r="M73" s="197"/>
      <c r="N73" s="100"/>
      <c r="O73" s="1048"/>
    </row>
    <row r="74" spans="1:22">
      <c r="A74" s="1336" t="s">
        <v>277</v>
      </c>
      <c r="B74" s="1337"/>
      <c r="C74" s="113"/>
      <c r="D74" s="125" t="s">
        <v>15</v>
      </c>
      <c r="E74" s="208">
        <f>E72+E55+E37</f>
        <v>7522016.3999999994</v>
      </c>
      <c r="F74" s="125" t="s">
        <v>15</v>
      </c>
      <c r="G74" s="208">
        <f>G72+G55+G37</f>
        <v>4316653.0999999996</v>
      </c>
      <c r="H74" s="125" t="s">
        <v>15</v>
      </c>
      <c r="I74" s="208">
        <f>I72+I55+I37</f>
        <v>7744139.9000000004</v>
      </c>
      <c r="J74" s="125" t="s">
        <v>15</v>
      </c>
      <c r="K74" s="208">
        <f>K72+K55+K37</f>
        <v>12060793</v>
      </c>
      <c r="L74" s="125" t="s">
        <v>15</v>
      </c>
      <c r="M74" s="208">
        <f>M72+M55+M37</f>
        <v>11921584</v>
      </c>
      <c r="N74" s="125"/>
      <c r="O74" s="1056"/>
      <c r="Q74" s="1046">
        <v>12060793</v>
      </c>
    </row>
    <row r="75" spans="1:22" ht="16.5" customHeight="1">
      <c r="A75" s="62" t="s">
        <v>1623</v>
      </c>
      <c r="B75" s="916"/>
      <c r="C75" s="915"/>
      <c r="D75" s="149"/>
      <c r="E75" s="862"/>
      <c r="F75" s="149"/>
      <c r="G75" s="862"/>
      <c r="H75" s="149"/>
      <c r="I75" s="862"/>
      <c r="J75" s="149"/>
      <c r="K75" s="862"/>
      <c r="L75" s="149"/>
      <c r="M75" s="862"/>
      <c r="N75" s="149"/>
      <c r="O75" s="1055"/>
      <c r="Q75" s="1046"/>
    </row>
    <row r="76" spans="1:22" ht="8.25" customHeight="1">
      <c r="A76" s="916"/>
      <c r="B76" s="916"/>
      <c r="C76" s="915"/>
      <c r="D76" s="149"/>
      <c r="E76" s="862"/>
      <c r="F76" s="149"/>
      <c r="G76" s="862"/>
      <c r="H76" s="149"/>
      <c r="I76" s="862"/>
      <c r="J76" s="149"/>
      <c r="K76" s="862"/>
      <c r="L76" s="149"/>
      <c r="M76" s="862"/>
      <c r="N76" s="149"/>
      <c r="O76" s="1055"/>
      <c r="Q76" s="1046"/>
    </row>
    <row r="77" spans="1:22" s="209" customFormat="1">
      <c r="A77" s="209" t="s">
        <v>187</v>
      </c>
      <c r="C77" s="128" t="s">
        <v>188</v>
      </c>
      <c r="F77" s="129"/>
      <c r="I77" s="209" t="s">
        <v>190</v>
      </c>
      <c r="L77" s="129"/>
      <c r="N77" s="129"/>
      <c r="O77" s="1047"/>
      <c r="P77" s="964"/>
      <c r="Q77" s="1047"/>
      <c r="R77" s="1009"/>
      <c r="S77" s="1009"/>
      <c r="T77" s="1009"/>
      <c r="U77" s="130"/>
      <c r="V77" s="130"/>
    </row>
    <row r="79" spans="1:22" ht="8.25" customHeight="1"/>
    <row r="80" spans="1:22" ht="6" customHeight="1"/>
    <row r="81" spans="1:20">
      <c r="B81" s="185"/>
      <c r="F81" s="185"/>
      <c r="G81" s="185"/>
      <c r="H81" s="185"/>
      <c r="I81" s="185"/>
      <c r="J81" s="185"/>
      <c r="K81" s="185"/>
      <c r="L81" s="774"/>
      <c r="M81" s="774"/>
      <c r="N81" s="185"/>
      <c r="O81" s="967"/>
    </row>
    <row r="82" spans="1:20" s="132" customFormat="1">
      <c r="A82" s="1323" t="s">
        <v>1604</v>
      </c>
      <c r="B82" s="1323"/>
      <c r="C82" s="1323" t="s">
        <v>1584</v>
      </c>
      <c r="D82" s="1323"/>
      <c r="E82" s="1323"/>
      <c r="F82" s="1323"/>
      <c r="G82" s="1323"/>
      <c r="H82" s="131"/>
      <c r="I82" s="1323" t="str">
        <f>hrmo!I81</f>
        <v>(Sgd.) ATTY. JOSE JOEL P. DOROMAL</v>
      </c>
      <c r="J82" s="1323"/>
      <c r="K82" s="1323"/>
      <c r="L82" s="1323"/>
      <c r="M82" s="1323"/>
      <c r="O82" s="986"/>
      <c r="P82" s="986"/>
      <c r="Q82" s="986"/>
      <c r="R82" s="986"/>
      <c r="S82" s="986"/>
      <c r="T82" s="986"/>
    </row>
    <row r="83" spans="1:20">
      <c r="A83" s="1322" t="s">
        <v>207</v>
      </c>
      <c r="B83" s="1322"/>
      <c r="C83" s="1322" t="s">
        <v>206</v>
      </c>
      <c r="D83" s="1322"/>
      <c r="E83" s="1322"/>
      <c r="F83" s="1322"/>
      <c r="G83" s="1322"/>
      <c r="I83" s="1322" t="s">
        <v>192</v>
      </c>
      <c r="J83" s="1322"/>
      <c r="K83" s="1322"/>
      <c r="L83" s="1322"/>
      <c r="M83" s="1322"/>
      <c r="N83" s="133"/>
    </row>
    <row r="84" spans="1:20">
      <c r="A84" s="88"/>
      <c r="B84" s="88"/>
      <c r="C84" s="88"/>
      <c r="D84" s="88"/>
      <c r="E84" s="88"/>
      <c r="F84" s="88"/>
      <c r="G84" s="88"/>
      <c r="I84" s="88"/>
      <c r="J84" s="88"/>
      <c r="K84" s="88"/>
      <c r="L84" s="776"/>
      <c r="M84" s="776"/>
      <c r="N84" s="88"/>
      <c r="O84" s="962"/>
    </row>
    <row r="85" spans="1:20">
      <c r="A85" s="88"/>
      <c r="B85" s="88"/>
      <c r="C85" s="88"/>
      <c r="D85" s="88"/>
      <c r="E85" s="88"/>
      <c r="F85" s="88"/>
      <c r="G85" s="88"/>
      <c r="I85" s="88"/>
      <c r="J85" s="88"/>
      <c r="K85" s="88"/>
      <c r="L85" s="776"/>
      <c r="M85" s="776"/>
      <c r="N85" s="88"/>
      <c r="O85" s="962"/>
    </row>
    <row r="86" spans="1:20">
      <c r="A86" s="88"/>
      <c r="B86" s="88"/>
      <c r="C86" s="88"/>
      <c r="D86" s="88"/>
      <c r="E86" s="88"/>
      <c r="F86" s="88"/>
      <c r="G86" s="88"/>
      <c r="I86" s="88"/>
      <c r="J86" s="88"/>
      <c r="K86" s="88"/>
      <c r="L86" s="776"/>
      <c r="M86" s="776"/>
      <c r="N86" s="88"/>
      <c r="O86" s="962"/>
    </row>
    <row r="87" spans="1:20">
      <c r="A87" s="88"/>
      <c r="B87" s="88"/>
      <c r="C87" s="88"/>
      <c r="D87" s="88"/>
      <c r="E87" s="88"/>
      <c r="F87" s="88"/>
      <c r="G87" s="88"/>
      <c r="I87" s="88"/>
      <c r="J87" s="88"/>
      <c r="K87" s="88"/>
      <c r="L87" s="776"/>
      <c r="M87" s="776"/>
      <c r="N87" s="88"/>
      <c r="O87" s="962"/>
    </row>
    <row r="88" spans="1:20">
      <c r="A88" s="88"/>
      <c r="B88" s="88"/>
      <c r="C88" s="88"/>
      <c r="D88" s="88"/>
      <c r="E88" s="88"/>
      <c r="F88" s="88"/>
      <c r="G88" s="88"/>
      <c r="I88" s="88"/>
      <c r="J88" s="88"/>
      <c r="K88" s="88"/>
      <c r="L88" s="776"/>
      <c r="M88" s="776"/>
      <c r="N88" s="88"/>
      <c r="O88" s="962"/>
    </row>
    <row r="89" spans="1:20">
      <c r="A89" s="88"/>
      <c r="B89" s="88"/>
      <c r="C89" s="88"/>
      <c r="D89" s="88"/>
      <c r="E89" s="88"/>
      <c r="F89" s="88"/>
      <c r="G89" s="88"/>
      <c r="I89" s="88"/>
      <c r="J89" s="88"/>
      <c r="K89" s="88"/>
      <c r="L89" s="776"/>
      <c r="M89" s="776"/>
      <c r="N89" s="88"/>
      <c r="O89" s="962"/>
    </row>
    <row r="90" spans="1:20">
      <c r="A90" s="88"/>
      <c r="B90" s="88"/>
      <c r="C90" s="88"/>
      <c r="D90" s="88"/>
      <c r="E90" s="88"/>
      <c r="F90" s="88"/>
      <c r="G90" s="88"/>
      <c r="I90" s="88"/>
      <c r="J90" s="88"/>
      <c r="K90" s="88"/>
      <c r="L90" s="776"/>
      <c r="M90" s="776"/>
      <c r="N90" s="88"/>
      <c r="O90" s="962"/>
    </row>
    <row r="91" spans="1:20">
      <c r="A91" s="88"/>
      <c r="B91" s="88"/>
      <c r="C91" s="88"/>
      <c r="D91" s="88"/>
      <c r="E91" s="88"/>
      <c r="F91" s="88"/>
      <c r="G91" s="88"/>
      <c r="I91" s="88"/>
      <c r="J91" s="88"/>
      <c r="K91" s="88"/>
      <c r="L91" s="776"/>
      <c r="M91" s="776"/>
      <c r="N91" s="88"/>
      <c r="O91" s="962"/>
    </row>
    <row r="92" spans="1:20">
      <c r="A92" s="88"/>
      <c r="B92" s="88"/>
      <c r="C92" s="88"/>
      <c r="D92" s="88"/>
      <c r="E92" s="88"/>
      <c r="F92" s="88"/>
      <c r="G92" s="88"/>
      <c r="I92" s="88"/>
      <c r="J92" s="88"/>
      <c r="K92" s="88"/>
      <c r="L92" s="776"/>
      <c r="M92" s="776"/>
      <c r="N92" s="88"/>
      <c r="O92" s="962"/>
    </row>
    <row r="93" spans="1:20">
      <c r="A93" s="88"/>
      <c r="B93" s="88"/>
      <c r="C93" s="88"/>
      <c r="D93" s="88"/>
      <c r="E93" s="88"/>
      <c r="F93" s="88"/>
      <c r="G93" s="88"/>
      <c r="I93" s="88"/>
      <c r="J93" s="88"/>
      <c r="K93" s="88"/>
      <c r="L93" s="776"/>
      <c r="M93" s="776"/>
      <c r="N93" s="88"/>
      <c r="O93" s="962"/>
    </row>
    <row r="94" spans="1:20">
      <c r="A94" s="88"/>
      <c r="B94" s="88"/>
      <c r="C94" s="88"/>
      <c r="D94" s="88"/>
      <c r="E94" s="88"/>
      <c r="F94" s="88"/>
      <c r="G94" s="88"/>
      <c r="I94" s="88"/>
      <c r="J94" s="88"/>
      <c r="K94" s="88"/>
      <c r="L94" s="776"/>
      <c r="M94" s="776"/>
      <c r="N94" s="88"/>
      <c r="O94" s="962"/>
    </row>
    <row r="95" spans="1:20">
      <c r="A95" s="88"/>
      <c r="B95" s="88"/>
      <c r="C95" s="88"/>
      <c r="D95" s="88"/>
      <c r="E95" s="88"/>
      <c r="F95" s="88"/>
      <c r="G95" s="88"/>
      <c r="I95" s="88"/>
      <c r="J95" s="88"/>
      <c r="K95" s="88"/>
      <c r="L95" s="776"/>
      <c r="M95" s="776"/>
      <c r="N95" s="88"/>
      <c r="O95" s="962"/>
    </row>
    <row r="96" spans="1:20">
      <c r="A96" s="88"/>
      <c r="B96" s="88"/>
      <c r="C96" s="88"/>
      <c r="D96" s="88"/>
      <c r="E96" s="88"/>
      <c r="F96" s="88"/>
      <c r="G96" s="88"/>
      <c r="I96" s="88"/>
      <c r="J96" s="88"/>
      <c r="K96" s="88"/>
      <c r="L96" s="776"/>
      <c r="M96" s="776"/>
      <c r="N96" s="88"/>
      <c r="O96" s="962"/>
    </row>
    <row r="97" spans="1:15">
      <c r="A97" s="88"/>
      <c r="B97" s="88"/>
      <c r="C97" s="88"/>
      <c r="D97" s="88"/>
      <c r="E97" s="88"/>
      <c r="F97" s="88"/>
      <c r="G97" s="88"/>
      <c r="I97" s="88"/>
      <c r="J97" s="88"/>
      <c r="K97" s="88"/>
      <c r="L97" s="776"/>
      <c r="M97" s="776"/>
      <c r="N97" s="88"/>
      <c r="O97" s="962"/>
    </row>
    <row r="98" spans="1:15">
      <c r="A98" s="88"/>
      <c r="B98" s="88"/>
      <c r="C98" s="88"/>
      <c r="D98" s="88"/>
      <c r="E98" s="88"/>
      <c r="F98" s="88"/>
      <c r="G98" s="88"/>
      <c r="I98" s="88"/>
      <c r="J98" s="88"/>
      <c r="K98" s="88"/>
      <c r="L98" s="776"/>
      <c r="M98" s="776"/>
      <c r="N98" s="88"/>
      <c r="O98" s="962"/>
    </row>
    <row r="99" spans="1:15">
      <c r="A99" s="88"/>
      <c r="B99" s="88"/>
      <c r="C99" s="88"/>
      <c r="D99" s="88"/>
      <c r="E99" s="88"/>
      <c r="F99" s="88"/>
      <c r="G99" s="88"/>
      <c r="I99" s="88"/>
      <c r="J99" s="88"/>
      <c r="K99" s="88"/>
      <c r="L99" s="776"/>
      <c r="M99" s="776"/>
      <c r="N99" s="88"/>
      <c r="O99" s="962"/>
    </row>
    <row r="100" spans="1:15">
      <c r="A100" s="88"/>
      <c r="B100" s="88"/>
      <c r="C100" s="88"/>
      <c r="D100" s="88"/>
      <c r="E100" s="88"/>
      <c r="F100" s="88"/>
      <c r="G100" s="88"/>
      <c r="I100" s="88"/>
      <c r="J100" s="88"/>
      <c r="K100" s="88"/>
      <c r="L100" s="776"/>
      <c r="M100" s="776"/>
      <c r="N100" s="88"/>
      <c r="O100" s="962"/>
    </row>
    <row r="101" spans="1:15">
      <c r="A101" s="88"/>
      <c r="B101" s="88"/>
      <c r="C101" s="88"/>
      <c r="D101" s="88"/>
      <c r="E101" s="88"/>
      <c r="F101" s="88"/>
      <c r="G101" s="88"/>
      <c r="I101" s="88"/>
      <c r="J101" s="88"/>
      <c r="K101" s="88"/>
      <c r="L101" s="776"/>
      <c r="M101" s="776"/>
      <c r="N101" s="88"/>
      <c r="O101" s="962"/>
    </row>
    <row r="102" spans="1:15">
      <c r="A102" s="88"/>
      <c r="B102" s="88"/>
      <c r="C102" s="88"/>
      <c r="D102" s="88"/>
      <c r="E102" s="88"/>
      <c r="F102" s="88"/>
      <c r="G102" s="88"/>
      <c r="I102" s="88"/>
      <c r="J102" s="88"/>
      <c r="K102" s="88"/>
      <c r="L102" s="776"/>
      <c r="M102" s="776"/>
      <c r="N102" s="88"/>
      <c r="O102" s="962"/>
    </row>
    <row r="103" spans="1:15">
      <c r="A103" s="88"/>
      <c r="B103" s="88"/>
      <c r="C103" s="88"/>
      <c r="D103" s="88"/>
      <c r="E103" s="88"/>
      <c r="F103" s="88"/>
      <c r="G103" s="88"/>
      <c r="I103" s="88"/>
      <c r="J103" s="88"/>
      <c r="K103" s="88"/>
      <c r="L103" s="776"/>
      <c r="M103" s="776"/>
      <c r="N103" s="88"/>
      <c r="O103" s="962"/>
    </row>
    <row r="104" spans="1:15">
      <c r="A104" s="88"/>
      <c r="B104" s="88"/>
      <c r="C104" s="88"/>
      <c r="D104" s="88"/>
      <c r="E104" s="88"/>
      <c r="F104" s="88"/>
      <c r="G104" s="88"/>
      <c r="I104" s="88"/>
      <c r="J104" s="88"/>
      <c r="K104" s="88"/>
      <c r="L104" s="776"/>
      <c r="M104" s="776"/>
      <c r="N104" s="88"/>
      <c r="O104" s="962"/>
    </row>
    <row r="105" spans="1:15">
      <c r="A105" s="88"/>
      <c r="B105" s="88"/>
      <c r="C105" s="88"/>
      <c r="D105" s="88"/>
      <c r="E105" s="88"/>
      <c r="F105" s="88"/>
      <c r="G105" s="88"/>
      <c r="I105" s="88"/>
      <c r="J105" s="88"/>
      <c r="K105" s="88"/>
      <c r="L105" s="776"/>
      <c r="M105" s="776"/>
      <c r="N105" s="88"/>
      <c r="O105" s="962"/>
    </row>
    <row r="106" spans="1:15">
      <c r="A106" s="88"/>
      <c r="B106" s="88"/>
      <c r="C106" s="88"/>
      <c r="D106" s="88"/>
      <c r="E106" s="88"/>
      <c r="F106" s="88"/>
      <c r="G106" s="88"/>
      <c r="I106" s="88"/>
      <c r="J106" s="88"/>
      <c r="K106" s="88"/>
      <c r="L106" s="776"/>
      <c r="M106" s="776"/>
      <c r="N106" s="88"/>
      <c r="O106" s="962"/>
    </row>
    <row r="107" spans="1:15">
      <c r="A107" s="88"/>
      <c r="B107" s="88"/>
      <c r="C107" s="88"/>
      <c r="D107" s="88"/>
      <c r="E107" s="88"/>
      <c r="F107" s="88"/>
      <c r="G107" s="88"/>
      <c r="I107" s="88"/>
      <c r="J107" s="88"/>
      <c r="K107" s="88"/>
      <c r="L107" s="776"/>
      <c r="M107" s="776"/>
      <c r="N107" s="88"/>
      <c r="O107" s="962"/>
    </row>
    <row r="108" spans="1:15">
      <c r="A108" s="88"/>
      <c r="B108" s="88"/>
      <c r="C108" s="88"/>
      <c r="D108" s="88"/>
      <c r="E108" s="88"/>
      <c r="F108" s="88"/>
      <c r="G108" s="88"/>
      <c r="I108" s="88"/>
      <c r="J108" s="88"/>
      <c r="K108" s="88"/>
      <c r="L108" s="776"/>
      <c r="M108" s="776"/>
      <c r="N108" s="88"/>
      <c r="O108" s="962"/>
    </row>
    <row r="109" spans="1:15">
      <c r="A109" s="88"/>
      <c r="B109" s="88"/>
      <c r="C109" s="88"/>
      <c r="D109" s="88"/>
      <c r="E109" s="88"/>
      <c r="F109" s="88"/>
      <c r="G109" s="88"/>
      <c r="I109" s="88"/>
      <c r="J109" s="88"/>
      <c r="K109" s="88"/>
      <c r="L109" s="776"/>
      <c r="M109" s="776"/>
      <c r="N109" s="88"/>
      <c r="O109" s="962"/>
    </row>
    <row r="110" spans="1:15">
      <c r="A110" s="88"/>
      <c r="B110" s="88"/>
      <c r="C110" s="88"/>
      <c r="D110" s="88"/>
      <c r="E110" s="88"/>
      <c r="F110" s="88"/>
      <c r="G110" s="88"/>
      <c r="I110" s="88"/>
      <c r="J110" s="88"/>
      <c r="K110" s="88"/>
      <c r="L110" s="776"/>
      <c r="M110" s="776"/>
      <c r="N110" s="88"/>
      <c r="O110" s="962"/>
    </row>
    <row r="111" spans="1:15">
      <c r="A111" s="88"/>
      <c r="B111" s="88"/>
      <c r="C111" s="88"/>
      <c r="D111" s="88"/>
      <c r="E111" s="88"/>
      <c r="F111" s="88"/>
      <c r="G111" s="88"/>
      <c r="I111" s="88"/>
      <c r="J111" s="88"/>
      <c r="K111" s="88"/>
      <c r="L111" s="776"/>
      <c r="M111" s="776"/>
      <c r="N111" s="88"/>
      <c r="O111" s="962"/>
    </row>
    <row r="112" spans="1:15">
      <c r="A112" s="88"/>
      <c r="B112" s="88"/>
      <c r="C112" s="88"/>
      <c r="D112" s="88"/>
      <c r="E112" s="88"/>
      <c r="F112" s="88"/>
      <c r="G112" s="88"/>
      <c r="I112" s="88"/>
      <c r="J112" s="88"/>
      <c r="K112" s="88"/>
      <c r="L112" s="776"/>
      <c r="M112" s="776"/>
      <c r="N112" s="88"/>
      <c r="O112" s="962"/>
    </row>
    <row r="113" spans="1:15">
      <c r="A113" s="88"/>
      <c r="B113" s="88"/>
      <c r="C113" s="88"/>
      <c r="D113" s="88"/>
      <c r="E113" s="88"/>
      <c r="F113" s="88"/>
      <c r="G113" s="88"/>
      <c r="I113" s="88"/>
      <c r="J113" s="88"/>
      <c r="K113" s="88"/>
      <c r="L113" s="776"/>
      <c r="M113" s="776"/>
      <c r="N113" s="88"/>
      <c r="O113" s="962"/>
    </row>
    <row r="114" spans="1:15">
      <c r="A114" s="88"/>
      <c r="B114" s="88"/>
      <c r="C114" s="88"/>
      <c r="D114" s="88"/>
      <c r="E114" s="88"/>
      <c r="F114" s="88"/>
      <c r="G114" s="88"/>
      <c r="I114" s="88"/>
      <c r="J114" s="88"/>
      <c r="K114" s="88"/>
      <c r="L114" s="776"/>
      <c r="M114" s="776"/>
      <c r="N114" s="88"/>
      <c r="O114" s="962"/>
    </row>
    <row r="115" spans="1:15">
      <c r="A115" s="88"/>
      <c r="B115" s="88"/>
      <c r="C115" s="88"/>
      <c r="D115" s="88"/>
      <c r="E115" s="88"/>
      <c r="F115" s="88"/>
      <c r="G115" s="88"/>
      <c r="I115" s="88"/>
      <c r="J115" s="88"/>
      <c r="K115" s="88"/>
      <c r="L115" s="776"/>
      <c r="M115" s="776"/>
      <c r="N115" s="88"/>
      <c r="O115" s="962"/>
    </row>
    <row r="116" spans="1:15">
      <c r="A116" s="88"/>
      <c r="B116" s="88"/>
      <c r="C116" s="88"/>
      <c r="D116" s="88"/>
      <c r="E116" s="88"/>
      <c r="F116" s="88"/>
      <c r="G116" s="88"/>
      <c r="I116" s="88"/>
      <c r="J116" s="88"/>
      <c r="K116" s="88"/>
      <c r="L116" s="776"/>
      <c r="M116" s="776"/>
      <c r="N116" s="88"/>
      <c r="O116" s="962"/>
    </row>
    <row r="117" spans="1:15">
      <c r="A117" s="88"/>
      <c r="B117" s="88"/>
      <c r="C117" s="88"/>
      <c r="D117" s="88"/>
      <c r="E117" s="88"/>
      <c r="F117" s="88"/>
      <c r="G117" s="88"/>
      <c r="I117" s="88"/>
      <c r="J117" s="88"/>
      <c r="K117" s="88"/>
      <c r="L117" s="776"/>
      <c r="M117" s="776"/>
      <c r="N117" s="88"/>
      <c r="O117" s="962"/>
    </row>
    <row r="118" spans="1:15">
      <c r="A118" s="88"/>
      <c r="B118" s="88"/>
      <c r="C118" s="88"/>
      <c r="D118" s="88"/>
      <c r="E118" s="88"/>
      <c r="F118" s="88"/>
      <c r="G118" s="88"/>
      <c r="I118" s="88"/>
      <c r="J118" s="88"/>
      <c r="K118" s="88"/>
      <c r="L118" s="776"/>
      <c r="M118" s="776"/>
      <c r="N118" s="88"/>
      <c r="O118" s="962"/>
    </row>
    <row r="119" spans="1:15">
      <c r="A119" s="88"/>
      <c r="B119" s="88"/>
      <c r="C119" s="88"/>
      <c r="D119" s="88"/>
      <c r="E119" s="88"/>
      <c r="F119" s="88"/>
      <c r="G119" s="88"/>
      <c r="I119" s="88"/>
      <c r="J119" s="88"/>
      <c r="K119" s="88"/>
      <c r="L119" s="776"/>
      <c r="M119" s="776"/>
      <c r="N119" s="88"/>
      <c r="O119" s="962"/>
    </row>
    <row r="120" spans="1:15">
      <c r="A120" s="88"/>
      <c r="B120" s="88"/>
      <c r="C120" s="88"/>
      <c r="D120" s="88"/>
      <c r="E120" s="88"/>
      <c r="F120" s="88"/>
      <c r="G120" s="88"/>
      <c r="I120" s="88"/>
      <c r="J120" s="88"/>
      <c r="K120" s="88"/>
      <c r="L120" s="776"/>
      <c r="M120" s="776"/>
      <c r="N120" s="88"/>
      <c r="O120" s="962"/>
    </row>
    <row r="121" spans="1:15">
      <c r="A121" s="88"/>
      <c r="B121" s="88"/>
      <c r="C121" s="88"/>
      <c r="D121" s="88"/>
      <c r="E121" s="88"/>
      <c r="F121" s="88"/>
      <c r="G121" s="88"/>
      <c r="I121" s="88"/>
      <c r="J121" s="88"/>
      <c r="K121" s="88"/>
      <c r="L121" s="776"/>
      <c r="M121" s="776"/>
      <c r="N121" s="88"/>
      <c r="O121" s="962"/>
    </row>
    <row r="122" spans="1:15">
      <c r="A122" s="88"/>
      <c r="B122" s="88"/>
      <c r="C122" s="88"/>
      <c r="D122" s="88"/>
      <c r="E122" s="88"/>
      <c r="F122" s="88"/>
      <c r="G122" s="88"/>
      <c r="I122" s="88"/>
      <c r="J122" s="88"/>
      <c r="K122" s="88"/>
      <c r="L122" s="776"/>
      <c r="M122" s="776"/>
      <c r="N122" s="88"/>
      <c r="O122" s="962"/>
    </row>
    <row r="123" spans="1:15">
      <c r="A123" s="88"/>
      <c r="B123" s="88"/>
      <c r="C123" s="88"/>
      <c r="D123" s="88"/>
      <c r="E123" s="88"/>
      <c r="F123" s="88"/>
      <c r="G123" s="88"/>
      <c r="I123" s="88"/>
      <c r="J123" s="88"/>
      <c r="K123" s="88"/>
      <c r="L123" s="776"/>
      <c r="M123" s="776"/>
      <c r="N123" s="88"/>
      <c r="O123" s="962"/>
    </row>
    <row r="124" spans="1:15">
      <c r="A124" s="88"/>
      <c r="B124" s="88"/>
      <c r="C124" s="88"/>
      <c r="D124" s="88"/>
      <c r="E124" s="88"/>
      <c r="F124" s="88"/>
      <c r="G124" s="88"/>
      <c r="I124" s="88"/>
      <c r="J124" s="88"/>
      <c r="K124" s="88"/>
      <c r="L124" s="776"/>
      <c r="M124" s="776"/>
      <c r="N124" s="88"/>
      <c r="O124" s="962"/>
    </row>
    <row r="125" spans="1:15">
      <c r="A125" s="88"/>
      <c r="B125" s="88"/>
      <c r="C125" s="88"/>
      <c r="D125" s="88"/>
      <c r="E125" s="88"/>
      <c r="F125" s="88"/>
      <c r="G125" s="88"/>
      <c r="I125" s="88"/>
      <c r="J125" s="88"/>
      <c r="K125" s="88"/>
      <c r="L125" s="776"/>
      <c r="M125" s="776"/>
      <c r="N125" s="88"/>
      <c r="O125" s="962"/>
    </row>
    <row r="126" spans="1:15">
      <c r="A126" s="88"/>
      <c r="B126" s="88"/>
      <c r="C126" s="88"/>
      <c r="D126" s="88"/>
      <c r="E126" s="88"/>
      <c r="F126" s="88"/>
      <c r="G126" s="88"/>
      <c r="I126" s="88"/>
      <c r="J126" s="88"/>
      <c r="K126" s="88"/>
      <c r="L126" s="776"/>
      <c r="M126" s="776"/>
      <c r="N126" s="88"/>
      <c r="O126" s="962"/>
    </row>
    <row r="127" spans="1:15">
      <c r="A127" s="88"/>
      <c r="B127" s="88"/>
      <c r="C127" s="88"/>
      <c r="D127" s="88"/>
      <c r="E127" s="88"/>
      <c r="F127" s="88"/>
      <c r="G127" s="88"/>
      <c r="I127" s="88"/>
      <c r="J127" s="88"/>
      <c r="K127" s="88"/>
      <c r="L127" s="776"/>
      <c r="M127" s="776"/>
      <c r="N127" s="88"/>
      <c r="O127" s="962"/>
    </row>
    <row r="128" spans="1:15">
      <c r="A128" s="88"/>
      <c r="B128" s="88"/>
      <c r="C128" s="88"/>
      <c r="D128" s="88"/>
      <c r="E128" s="88"/>
      <c r="F128" s="88"/>
      <c r="G128" s="88"/>
      <c r="I128" s="88"/>
      <c r="J128" s="88"/>
      <c r="K128" s="88"/>
      <c r="L128" s="776"/>
      <c r="M128" s="776"/>
      <c r="N128" s="88"/>
      <c r="O128" s="962"/>
    </row>
    <row r="130" spans="1:14">
      <c r="A130" s="210" t="s">
        <v>241</v>
      </c>
      <c r="B130" s="188"/>
      <c r="C130" s="188"/>
      <c r="D130" s="186"/>
      <c r="E130" s="211"/>
      <c r="J130" s="133"/>
      <c r="L130" s="133"/>
      <c r="N130" s="133"/>
    </row>
    <row r="131" spans="1:14">
      <c r="A131" s="1324" t="s">
        <v>60</v>
      </c>
      <c r="B131" s="1311"/>
      <c r="C131" s="202"/>
      <c r="D131" s="111"/>
      <c r="E131" s="195"/>
      <c r="J131" s="133"/>
      <c r="L131" s="133"/>
      <c r="N131" s="133"/>
    </row>
    <row r="132" spans="1:14">
      <c r="A132" s="198" t="s">
        <v>233</v>
      </c>
      <c r="B132" s="202"/>
      <c r="C132" s="202"/>
      <c r="D132" s="111"/>
      <c r="E132" s="135" t="s">
        <v>228</v>
      </c>
      <c r="J132" s="133"/>
      <c r="L132" s="133"/>
      <c r="N132" s="133"/>
    </row>
    <row r="133" spans="1:14">
      <c r="A133" s="198"/>
      <c r="B133" s="202"/>
      <c r="C133" s="202"/>
      <c r="D133" s="111"/>
      <c r="E133" s="195"/>
      <c r="J133" s="133"/>
      <c r="L133" s="133"/>
      <c r="N133" s="133"/>
    </row>
    <row r="134" spans="1:14">
      <c r="A134" s="212" t="s">
        <v>61</v>
      </c>
      <c r="B134" s="202"/>
      <c r="C134" s="202"/>
      <c r="D134" s="111" t="s">
        <v>15</v>
      </c>
      <c r="E134" s="197">
        <v>611000</v>
      </c>
      <c r="J134" s="133"/>
      <c r="L134" s="133"/>
      <c r="N134" s="133"/>
    </row>
    <row r="135" spans="1:14">
      <c r="A135" s="212" t="s">
        <v>106</v>
      </c>
      <c r="B135" s="202"/>
      <c r="C135" s="202"/>
      <c r="D135" s="111"/>
      <c r="E135" s="197">
        <v>100000</v>
      </c>
      <c r="J135" s="133"/>
      <c r="L135" s="133"/>
      <c r="N135" s="133"/>
    </row>
    <row r="136" spans="1:14">
      <c r="A136" s="212" t="s">
        <v>247</v>
      </c>
      <c r="B136" s="202"/>
      <c r="C136" s="202"/>
      <c r="D136" s="111"/>
      <c r="E136" s="197">
        <v>10000</v>
      </c>
      <c r="J136" s="133"/>
      <c r="L136" s="133"/>
      <c r="N136" s="133"/>
    </row>
    <row r="137" spans="1:14">
      <c r="A137" s="212" t="s">
        <v>110</v>
      </c>
      <c r="B137" s="202"/>
      <c r="C137" s="202"/>
      <c r="D137" s="111"/>
      <c r="E137" s="197"/>
      <c r="J137" s="133"/>
      <c r="L137" s="133"/>
      <c r="N137" s="133"/>
    </row>
    <row r="138" spans="1:14">
      <c r="A138" s="212" t="s">
        <v>249</v>
      </c>
      <c r="B138" s="202"/>
      <c r="C138" s="202"/>
      <c r="D138" s="111"/>
      <c r="E138" s="197">
        <v>200000</v>
      </c>
      <c r="I138" s="200"/>
      <c r="J138" s="133"/>
      <c r="L138" s="133"/>
      <c r="N138" s="133"/>
    </row>
    <row r="139" spans="1:14">
      <c r="A139" s="212" t="s">
        <v>107</v>
      </c>
      <c r="B139" s="202"/>
      <c r="C139" s="202"/>
      <c r="D139" s="111"/>
      <c r="E139" s="197">
        <v>50000</v>
      </c>
      <c r="J139" s="133"/>
      <c r="L139" s="133"/>
      <c r="N139" s="133"/>
    </row>
    <row r="140" spans="1:14">
      <c r="A140" s="212" t="s">
        <v>248</v>
      </c>
      <c r="B140" s="202"/>
      <c r="C140" s="202"/>
      <c r="D140" s="111"/>
      <c r="E140" s="197">
        <v>20000</v>
      </c>
      <c r="J140" s="133"/>
      <c r="L140" s="133"/>
      <c r="N140" s="133"/>
    </row>
    <row r="141" spans="1:14">
      <c r="A141" s="212" t="s">
        <v>112</v>
      </c>
      <c r="B141" s="202"/>
      <c r="C141" s="202"/>
      <c r="D141" s="111"/>
      <c r="E141" s="197"/>
      <c r="I141" s="200"/>
      <c r="J141" s="133"/>
      <c r="L141" s="133"/>
      <c r="N141" s="133"/>
    </row>
    <row r="142" spans="1:14">
      <c r="A142" s="212" t="s">
        <v>111</v>
      </c>
      <c r="B142" s="202"/>
      <c r="C142" s="202"/>
      <c r="D142" s="111"/>
      <c r="E142" s="197">
        <v>150000</v>
      </c>
      <c r="I142" s="200"/>
      <c r="J142" s="133"/>
      <c r="L142" s="133"/>
      <c r="N142" s="133"/>
    </row>
    <row r="143" spans="1:14">
      <c r="A143" s="212" t="s">
        <v>108</v>
      </c>
      <c r="B143" s="202"/>
      <c r="C143" s="202"/>
      <c r="D143" s="111"/>
      <c r="E143" s="197">
        <v>250000</v>
      </c>
      <c r="J143" s="133"/>
      <c r="L143" s="133"/>
      <c r="N143" s="133"/>
    </row>
    <row r="144" spans="1:14">
      <c r="A144" s="212" t="s">
        <v>109</v>
      </c>
      <c r="B144" s="202"/>
      <c r="C144" s="202"/>
      <c r="D144" s="111"/>
      <c r="E144" s="197">
        <v>250000</v>
      </c>
      <c r="J144" s="133"/>
      <c r="L144" s="133"/>
      <c r="N144" s="133"/>
    </row>
    <row r="145" spans="1:14" ht="15.75">
      <c r="A145" s="212" t="s">
        <v>77</v>
      </c>
      <c r="B145" s="202"/>
      <c r="C145" s="202"/>
      <c r="D145" s="111"/>
      <c r="E145" s="213">
        <v>173000</v>
      </c>
      <c r="J145" s="133"/>
      <c r="L145" s="133"/>
      <c r="N145" s="133"/>
    </row>
    <row r="146" spans="1:14">
      <c r="A146" s="1320" t="s">
        <v>64</v>
      </c>
      <c r="B146" s="1321"/>
      <c r="C146" s="202"/>
      <c r="D146" s="111" t="s">
        <v>15</v>
      </c>
      <c r="E146" s="197">
        <f>SUM(E134:E145)</f>
        <v>1814000</v>
      </c>
      <c r="J146" s="133"/>
      <c r="L146" s="133"/>
      <c r="N146" s="133"/>
    </row>
    <row r="147" spans="1:14">
      <c r="A147" s="214"/>
      <c r="B147" s="187"/>
      <c r="C147" s="187"/>
      <c r="D147" s="139"/>
      <c r="E147" s="203"/>
    </row>
    <row r="165" spans="1:7">
      <c r="A165" s="210" t="s">
        <v>241</v>
      </c>
      <c r="B165" s="188"/>
      <c r="C165" s="188"/>
      <c r="D165" s="186"/>
      <c r="E165" s="211"/>
    </row>
    <row r="166" spans="1:7">
      <c r="A166" s="1324" t="s">
        <v>60</v>
      </c>
      <c r="B166" s="1311"/>
      <c r="C166" s="202"/>
      <c r="D166" s="111"/>
      <c r="E166" s="195"/>
    </row>
    <row r="167" spans="1:7">
      <c r="A167" s="198" t="s">
        <v>233</v>
      </c>
      <c r="B167" s="202"/>
      <c r="C167" s="202"/>
      <c r="D167" s="111"/>
      <c r="E167" s="135" t="s">
        <v>300</v>
      </c>
    </row>
    <row r="168" spans="1:7">
      <c r="A168" s="198"/>
      <c r="B168" s="202"/>
      <c r="C168" s="202"/>
      <c r="D168" s="111"/>
      <c r="E168" s="195"/>
    </row>
    <row r="169" spans="1:7">
      <c r="A169" s="212" t="s">
        <v>61</v>
      </c>
      <c r="B169" s="202"/>
      <c r="C169" s="202"/>
      <c r="D169" s="111" t="s">
        <v>15</v>
      </c>
      <c r="E169" s="197">
        <v>559000</v>
      </c>
      <c r="G169" s="200"/>
    </row>
    <row r="170" spans="1:7">
      <c r="A170" s="212" t="s">
        <v>106</v>
      </c>
      <c r="B170" s="202"/>
      <c r="C170" s="202"/>
      <c r="D170" s="111"/>
      <c r="E170" s="197">
        <v>115000</v>
      </c>
    </row>
    <row r="171" spans="1:7">
      <c r="A171" s="212" t="s">
        <v>313</v>
      </c>
      <c r="B171" s="202"/>
      <c r="C171" s="202"/>
      <c r="D171" s="111"/>
      <c r="E171" s="197">
        <v>12000</v>
      </c>
    </row>
    <row r="172" spans="1:7">
      <c r="A172" s="212" t="s">
        <v>110</v>
      </c>
      <c r="B172" s="202"/>
      <c r="C172" s="202"/>
      <c r="D172" s="111"/>
      <c r="E172" s="197"/>
    </row>
    <row r="173" spans="1:7">
      <c r="A173" s="212" t="s">
        <v>314</v>
      </c>
      <c r="B173" s="202"/>
      <c r="C173" s="202"/>
      <c r="D173" s="111"/>
      <c r="E173" s="197">
        <v>230000</v>
      </c>
    </row>
    <row r="174" spans="1:7">
      <c r="A174" s="212" t="s">
        <v>107</v>
      </c>
      <c r="B174" s="202"/>
      <c r="C174" s="202"/>
      <c r="D174" s="111"/>
      <c r="E174" s="197">
        <v>58000</v>
      </c>
    </row>
    <row r="175" spans="1:7">
      <c r="A175" s="212" t="s">
        <v>315</v>
      </c>
      <c r="B175" s="202"/>
      <c r="C175" s="202"/>
      <c r="D175" s="111"/>
      <c r="E175" s="197">
        <v>23000</v>
      </c>
    </row>
    <row r="176" spans="1:7">
      <c r="A176" s="212" t="s">
        <v>112</v>
      </c>
      <c r="B176" s="202"/>
      <c r="C176" s="202"/>
      <c r="D176" s="111"/>
      <c r="E176" s="197"/>
    </row>
    <row r="177" spans="1:9">
      <c r="A177" s="212" t="s">
        <v>111</v>
      </c>
      <c r="B177" s="202"/>
      <c r="C177" s="202"/>
      <c r="D177" s="111"/>
      <c r="E177" s="197">
        <v>173000</v>
      </c>
    </row>
    <row r="178" spans="1:9">
      <c r="A178" s="212" t="s">
        <v>108</v>
      </c>
      <c r="B178" s="202"/>
      <c r="C178" s="202"/>
      <c r="D178" s="111"/>
      <c r="E178" s="197">
        <v>288000</v>
      </c>
    </row>
    <row r="179" spans="1:9">
      <c r="A179" s="212" t="s">
        <v>109</v>
      </c>
      <c r="B179" s="202"/>
      <c r="C179" s="202"/>
      <c r="D179" s="111"/>
      <c r="E179" s="197">
        <v>288000</v>
      </c>
    </row>
    <row r="180" spans="1:9">
      <c r="A180" s="212" t="s">
        <v>77</v>
      </c>
      <c r="B180" s="202"/>
      <c r="C180" s="202"/>
      <c r="D180" s="111"/>
      <c r="E180" s="197">
        <v>200000</v>
      </c>
    </row>
    <row r="181" spans="1:9" ht="15.75">
      <c r="A181" s="212" t="s">
        <v>323</v>
      </c>
      <c r="B181" s="202"/>
      <c r="C181" s="202"/>
      <c r="D181" s="111"/>
      <c r="E181" s="213">
        <v>360000</v>
      </c>
    </row>
    <row r="182" spans="1:9">
      <c r="A182" s="1320" t="s">
        <v>64</v>
      </c>
      <c r="B182" s="1321"/>
      <c r="C182" s="202"/>
      <c r="D182" s="111" t="s">
        <v>15</v>
      </c>
      <c r="E182" s="197">
        <f>SUM(E169:E181)</f>
        <v>2306000</v>
      </c>
      <c r="G182" s="200"/>
      <c r="I182" s="215"/>
    </row>
    <row r="183" spans="1:9">
      <c r="A183" s="214"/>
      <c r="B183" s="187"/>
      <c r="C183" s="187"/>
      <c r="D183" s="139"/>
      <c r="E183" s="203"/>
    </row>
    <row r="189" spans="1:9">
      <c r="A189" s="210" t="s">
        <v>241</v>
      </c>
      <c r="B189" s="188"/>
      <c r="C189" s="188"/>
      <c r="D189" s="186"/>
      <c r="E189" s="211"/>
    </row>
    <row r="190" spans="1:9">
      <c r="A190" s="1324" t="s">
        <v>60</v>
      </c>
      <c r="B190" s="1311"/>
      <c r="C190" s="202"/>
      <c r="D190" s="111"/>
      <c r="E190" s="195"/>
    </row>
    <row r="191" spans="1:9">
      <c r="A191" s="198" t="s">
        <v>233</v>
      </c>
      <c r="B191" s="202"/>
      <c r="C191" s="202"/>
      <c r="D191" s="111"/>
      <c r="E191" s="135" t="s">
        <v>300</v>
      </c>
    </row>
    <row r="192" spans="1:9">
      <c r="A192" s="198"/>
      <c r="B192" s="202"/>
      <c r="C192" s="202"/>
      <c r="D192" s="111"/>
      <c r="E192" s="195"/>
    </row>
    <row r="193" spans="1:5">
      <c r="A193" s="212" t="s">
        <v>61</v>
      </c>
      <c r="B193" s="202"/>
      <c r="C193" s="202"/>
      <c r="D193" s="111" t="s">
        <v>15</v>
      </c>
      <c r="E193" s="197">
        <v>559000</v>
      </c>
    </row>
    <row r="194" spans="1:5">
      <c r="A194" s="212" t="s">
        <v>106</v>
      </c>
      <c r="B194" s="202"/>
      <c r="C194" s="202"/>
      <c r="D194" s="111"/>
      <c r="E194" s="197">
        <v>115000</v>
      </c>
    </row>
    <row r="195" spans="1:5">
      <c r="A195" s="212" t="s">
        <v>313</v>
      </c>
      <c r="B195" s="202"/>
      <c r="C195" s="202"/>
      <c r="D195" s="111"/>
      <c r="E195" s="197">
        <v>12000</v>
      </c>
    </row>
    <row r="196" spans="1:5">
      <c r="A196" s="212" t="s">
        <v>110</v>
      </c>
      <c r="B196" s="202"/>
      <c r="C196" s="202"/>
      <c r="D196" s="111"/>
      <c r="E196" s="197"/>
    </row>
    <row r="197" spans="1:5">
      <c r="A197" s="212" t="s">
        <v>314</v>
      </c>
      <c r="B197" s="202"/>
      <c r="C197" s="202"/>
      <c r="D197" s="111"/>
      <c r="E197" s="197">
        <v>230000</v>
      </c>
    </row>
    <row r="198" spans="1:5">
      <c r="A198" s="212" t="s">
        <v>107</v>
      </c>
      <c r="B198" s="202"/>
      <c r="C198" s="202"/>
      <c r="D198" s="111"/>
      <c r="E198" s="197">
        <v>58000</v>
      </c>
    </row>
    <row r="199" spans="1:5">
      <c r="A199" s="212" t="s">
        <v>315</v>
      </c>
      <c r="B199" s="202"/>
      <c r="C199" s="202"/>
      <c r="D199" s="111"/>
      <c r="E199" s="197">
        <v>23000</v>
      </c>
    </row>
    <row r="200" spans="1:5">
      <c r="A200" s="212" t="s">
        <v>112</v>
      </c>
      <c r="B200" s="202"/>
      <c r="C200" s="202"/>
      <c r="D200" s="111"/>
      <c r="E200" s="197"/>
    </row>
    <row r="201" spans="1:5">
      <c r="A201" s="212" t="s">
        <v>111</v>
      </c>
      <c r="B201" s="202"/>
      <c r="C201" s="202"/>
      <c r="D201" s="111"/>
      <c r="E201" s="197">
        <v>173000</v>
      </c>
    </row>
    <row r="202" spans="1:5">
      <c r="A202" s="212" t="s">
        <v>108</v>
      </c>
      <c r="B202" s="202"/>
      <c r="C202" s="202"/>
      <c r="D202" s="111"/>
      <c r="E202" s="197">
        <v>288000</v>
      </c>
    </row>
    <row r="203" spans="1:5">
      <c r="A203" s="212" t="s">
        <v>109</v>
      </c>
      <c r="B203" s="202"/>
      <c r="C203" s="202"/>
      <c r="D203" s="111"/>
      <c r="E203" s="197">
        <v>288000</v>
      </c>
    </row>
    <row r="204" spans="1:5">
      <c r="A204" s="212" t="s">
        <v>77</v>
      </c>
      <c r="B204" s="202"/>
      <c r="C204" s="202"/>
      <c r="D204" s="111"/>
      <c r="E204" s="197">
        <v>200000</v>
      </c>
    </row>
    <row r="205" spans="1:5" ht="15.75">
      <c r="A205" s="212" t="s">
        <v>323</v>
      </c>
      <c r="B205" s="202"/>
      <c r="C205" s="202"/>
      <c r="D205" s="111"/>
      <c r="E205" s="213">
        <v>360000</v>
      </c>
    </row>
    <row r="206" spans="1:5">
      <c r="A206" s="1320" t="s">
        <v>64</v>
      </c>
      <c r="B206" s="1321"/>
      <c r="C206" s="202"/>
      <c r="D206" s="111" t="s">
        <v>15</v>
      </c>
      <c r="E206" s="197">
        <f>SUM(E193:E205)</f>
        <v>2306000</v>
      </c>
    </row>
    <row r="207" spans="1:5">
      <c r="A207" s="214"/>
      <c r="B207" s="187"/>
      <c r="C207" s="187"/>
      <c r="D207" s="139"/>
      <c r="E207" s="203"/>
    </row>
    <row r="209" spans="1:5">
      <c r="A209" s="216" t="s">
        <v>243</v>
      </c>
      <c r="B209" s="189"/>
      <c r="C209" s="189"/>
      <c r="D209" s="116"/>
      <c r="E209" s="217"/>
    </row>
    <row r="210" spans="1:5">
      <c r="A210" s="1324" t="s">
        <v>60</v>
      </c>
      <c r="B210" s="1311"/>
      <c r="C210" s="202"/>
      <c r="D210" s="111"/>
      <c r="E210" s="195"/>
    </row>
    <row r="211" spans="1:5">
      <c r="A211" s="198" t="s">
        <v>233</v>
      </c>
      <c r="B211" s="202"/>
      <c r="C211" s="202"/>
      <c r="D211" s="111"/>
      <c r="E211" s="135" t="s">
        <v>300</v>
      </c>
    </row>
    <row r="212" spans="1:5">
      <c r="A212" s="198"/>
      <c r="B212" s="202"/>
      <c r="C212" s="202"/>
      <c r="D212" s="111"/>
      <c r="E212" s="195"/>
    </row>
    <row r="213" spans="1:5">
      <c r="A213" s="212" t="s">
        <v>61</v>
      </c>
      <c r="B213" s="202"/>
      <c r="C213" s="202"/>
      <c r="D213" s="111" t="s">
        <v>15</v>
      </c>
      <c r="E213" s="197">
        <v>96000</v>
      </c>
    </row>
    <row r="214" spans="1:5" ht="15.75">
      <c r="A214" s="212" t="s">
        <v>93</v>
      </c>
      <c r="B214" s="202"/>
      <c r="C214" s="202"/>
      <c r="D214" s="111"/>
      <c r="E214" s="213">
        <v>100000</v>
      </c>
    </row>
    <row r="215" spans="1:5">
      <c r="A215" s="1320" t="s">
        <v>64</v>
      </c>
      <c r="B215" s="1321"/>
      <c r="C215" s="202"/>
      <c r="D215" s="111" t="s">
        <v>15</v>
      </c>
      <c r="E215" s="197">
        <f>SUM(E213:E214)</f>
        <v>196000</v>
      </c>
    </row>
    <row r="216" spans="1:5">
      <c r="A216" s="214"/>
      <c r="B216" s="187"/>
      <c r="C216" s="187"/>
      <c r="D216" s="139"/>
      <c r="E216" s="203"/>
    </row>
  </sheetData>
  <sheetProtection algorithmName="SHA-512" hashValue="TPxDyi+NOPtHfVMSo1butV4ccpPVm5xDBsdnmO9NcpGKVzFQf5ze+aqjCjafRPl5fMjLS+RJixqfAhCKFs1mmg==" saltValue="Ty70UF3mNoSxKex3R6Pbqg==" spinCount="100000" sheet="1" objects="1" scenarios="1"/>
  <mergeCells count="34">
    <mergeCell ref="N11:O13"/>
    <mergeCell ref="D11:E11"/>
    <mergeCell ref="F12:G12"/>
    <mergeCell ref="J12:K13"/>
    <mergeCell ref="F11:K11"/>
    <mergeCell ref="H12:I12"/>
    <mergeCell ref="D12:E12"/>
    <mergeCell ref="L11:M11"/>
    <mergeCell ref="L12:M12"/>
    <mergeCell ref="A3:M3"/>
    <mergeCell ref="A146:B146"/>
    <mergeCell ref="A131:B131"/>
    <mergeCell ref="A83:B83"/>
    <mergeCell ref="C82:G82"/>
    <mergeCell ref="A74:B74"/>
    <mergeCell ref="A4:M4"/>
    <mergeCell ref="I82:M82"/>
    <mergeCell ref="I83:M83"/>
    <mergeCell ref="L13:M13"/>
    <mergeCell ref="A12:B12"/>
    <mergeCell ref="A215:B215"/>
    <mergeCell ref="A55:B55"/>
    <mergeCell ref="H13:I13"/>
    <mergeCell ref="A37:B37"/>
    <mergeCell ref="A72:B72"/>
    <mergeCell ref="A182:B182"/>
    <mergeCell ref="A166:B166"/>
    <mergeCell ref="F13:G13"/>
    <mergeCell ref="A190:B190"/>
    <mergeCell ref="C83:G83"/>
    <mergeCell ref="A206:B206"/>
    <mergeCell ref="A210:B210"/>
    <mergeCell ref="A82:B82"/>
    <mergeCell ref="D13:E13"/>
  </mergeCells>
  <phoneticPr fontId="0" type="noConversion"/>
  <pageMargins left="0.2" right="0.2" top="1.51" bottom="1" header="0.38" footer="0.38"/>
  <pageSetup paperSize="14" fitToHeight="0" orientation="portrait" verticalDpi="300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60</vt:i4>
      </vt:variant>
    </vt:vector>
  </HeadingPairs>
  <TitlesOfParts>
    <vt:vector size="94" baseType="lpstr">
      <vt:lpstr>FORM 1 GF</vt:lpstr>
      <vt:lpstr>mmo</vt:lpstr>
      <vt:lpstr>vmo</vt:lpstr>
      <vt:lpstr>osca</vt:lpstr>
      <vt:lpstr>sbo</vt:lpstr>
      <vt:lpstr>ssbo</vt:lpstr>
      <vt:lpstr>admin</vt:lpstr>
      <vt:lpstr>hrmo</vt:lpstr>
      <vt:lpstr>mpdo</vt:lpstr>
      <vt:lpstr>mcro</vt:lpstr>
      <vt:lpstr>gso</vt:lpstr>
      <vt:lpstr>mbo</vt:lpstr>
      <vt:lpstr>macco</vt:lpstr>
      <vt:lpstr>mto</vt:lpstr>
      <vt:lpstr>masso</vt:lpstr>
      <vt:lpstr>dilg</vt:lpstr>
      <vt:lpstr>coa</vt:lpstr>
      <vt:lpstr>mctc</vt:lpstr>
      <vt:lpstr>pnp</vt:lpstr>
      <vt:lpstr>bfp</vt:lpstr>
      <vt:lpstr>mho</vt:lpstr>
      <vt:lpstr>mswdo</vt:lpstr>
      <vt:lpstr>mago</vt:lpstr>
      <vt:lpstr>MENRO</vt:lpstr>
      <vt:lpstr>meo</vt:lpstr>
      <vt:lpstr>OBO</vt:lpstr>
      <vt:lpstr>leeo-Market</vt:lpstr>
      <vt:lpstr>leeo-Terminal</vt:lpstr>
      <vt:lpstr>leeo- Slaughterhouse</vt:lpstr>
      <vt:lpstr>ProgProjAct 09-22-22</vt:lpstr>
      <vt:lpstr>Gender &amp; Dev't. 09-15-22</vt:lpstr>
      <vt:lpstr>20% LDF 9-13-22</vt:lpstr>
      <vt:lpstr>5% MDRRMF 9-23-22</vt:lpstr>
      <vt:lpstr>C &amp; SO (GF)</vt:lpstr>
      <vt:lpstr>'20% LDF 9-13-22'!Print_Area</vt:lpstr>
      <vt:lpstr>'5% MDRRMF 9-23-22'!Print_Area</vt:lpstr>
      <vt:lpstr>admin!Print_Area</vt:lpstr>
      <vt:lpstr>bfp!Print_Area</vt:lpstr>
      <vt:lpstr>coa!Print_Area</vt:lpstr>
      <vt:lpstr>dilg!Print_Area</vt:lpstr>
      <vt:lpstr>'FORM 1 GF'!Print_Area</vt:lpstr>
      <vt:lpstr>'Gender &amp; Dev''t. 09-15-22'!Print_Area</vt:lpstr>
      <vt:lpstr>gso!Print_Area</vt:lpstr>
      <vt:lpstr>hrmo!Print_Area</vt:lpstr>
      <vt:lpstr>'leeo- Slaughterhouse'!Print_Area</vt:lpstr>
      <vt:lpstr>'leeo-Market'!Print_Area</vt:lpstr>
      <vt:lpstr>'leeo-Terminal'!Print_Area</vt:lpstr>
      <vt:lpstr>macco!Print_Area</vt:lpstr>
      <vt:lpstr>mago!Print_Area</vt:lpstr>
      <vt:lpstr>masso!Print_Area</vt:lpstr>
      <vt:lpstr>mbo!Print_Area</vt:lpstr>
      <vt:lpstr>mcro!Print_Area</vt:lpstr>
      <vt:lpstr>mctc!Print_Area</vt:lpstr>
      <vt:lpstr>MENRO!Print_Area</vt:lpstr>
      <vt:lpstr>meo!Print_Area</vt:lpstr>
      <vt:lpstr>mho!Print_Area</vt:lpstr>
      <vt:lpstr>mmo!Print_Area</vt:lpstr>
      <vt:lpstr>mpdo!Print_Area</vt:lpstr>
      <vt:lpstr>mswdo!Print_Area</vt:lpstr>
      <vt:lpstr>mto!Print_Area</vt:lpstr>
      <vt:lpstr>OBO!Print_Area</vt:lpstr>
      <vt:lpstr>osca!Print_Area</vt:lpstr>
      <vt:lpstr>pnp!Print_Area</vt:lpstr>
      <vt:lpstr>'ProgProjAct 09-22-22'!Print_Area</vt:lpstr>
      <vt:lpstr>sbo!Print_Area</vt:lpstr>
      <vt:lpstr>ssbo!Print_Area</vt:lpstr>
      <vt:lpstr>vmo!Print_Area</vt:lpstr>
      <vt:lpstr>'20% LDF 9-13-22'!Print_Titles</vt:lpstr>
      <vt:lpstr>'5% MDRRMF 9-23-22'!Print_Titles</vt:lpstr>
      <vt:lpstr>admin!Print_Titles</vt:lpstr>
      <vt:lpstr>'FORM 1 GF'!Print_Titles</vt:lpstr>
      <vt:lpstr>'Gender &amp; Dev''t. 09-15-22'!Print_Titles</vt:lpstr>
      <vt:lpstr>gso!Print_Titles</vt:lpstr>
      <vt:lpstr>hrmo!Print_Titles</vt:lpstr>
      <vt:lpstr>'leeo- Slaughterhouse'!Print_Titles</vt:lpstr>
      <vt:lpstr>'leeo-Market'!Print_Titles</vt:lpstr>
      <vt:lpstr>'leeo-Terminal'!Print_Titles</vt:lpstr>
      <vt:lpstr>macco!Print_Titles</vt:lpstr>
      <vt:lpstr>mago!Print_Titles</vt:lpstr>
      <vt:lpstr>masso!Print_Titles</vt:lpstr>
      <vt:lpstr>mbo!Print_Titles</vt:lpstr>
      <vt:lpstr>mcro!Print_Titles</vt:lpstr>
      <vt:lpstr>MENRO!Print_Titles</vt:lpstr>
      <vt:lpstr>meo!Print_Titles</vt:lpstr>
      <vt:lpstr>mho!Print_Titles</vt:lpstr>
      <vt:lpstr>mmo!Print_Titles</vt:lpstr>
      <vt:lpstr>mpdo!Print_Titles</vt:lpstr>
      <vt:lpstr>mswdo!Print_Titles</vt:lpstr>
      <vt:lpstr>mto!Print_Titles</vt:lpstr>
      <vt:lpstr>osca!Print_Titles</vt:lpstr>
      <vt:lpstr>'ProgProjAct 09-22-22'!Print_Titles</vt:lpstr>
      <vt:lpstr>sbo!Print_Titles</vt:lpstr>
      <vt:lpstr>ssbo!Print_Titles</vt:lpstr>
      <vt:lpstr>vmo!Print_Titles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</dc:creator>
  <cp:lastModifiedBy>User</cp:lastModifiedBy>
  <cp:lastPrinted>2022-09-27T02:03:12Z</cp:lastPrinted>
  <dcterms:created xsi:type="dcterms:W3CDTF">2003-07-09T18:45:13Z</dcterms:created>
  <dcterms:modified xsi:type="dcterms:W3CDTF">2023-01-23T07:19:37Z</dcterms:modified>
</cp:coreProperties>
</file>